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1235" documentId="11_2006B5484FB5E097D682EE84DDDE97F7EF9FDD23" xr6:coauthVersionLast="47" xr6:coauthVersionMax="47" xr10:uidLastSave="{E0F29FFE-07C3-4A33-A344-40F959B6BD6F}"/>
  <bookViews>
    <workbookView xWindow="28680" yWindow="-120" windowWidth="29040" windowHeight="17520" tabRatio="856" xr2:uid="{00000000-000D-0000-FFFF-FFFF00000000}"/>
  </bookViews>
  <sheets>
    <sheet name="RICOH Data_FY2021～(segment)" sheetId="17" r:id="rId1"/>
    <sheet name="RICOH Data_FY2017～(segment)" sheetId="16" r:id="rId2"/>
    <sheet name="RICOH Data_FY2013～(IFRS)" sheetId="15" r:id="rId3"/>
    <sheet name="RICOH Data_～FY2013(U.S.GAAP)" sheetId="14" r:id="rId4"/>
  </sheets>
  <definedNames>
    <definedName name="_xlnm.Print_Area" localSheetId="2">'RICOH Data_FY2013～(IFRS)'!$A$1:$AB$140</definedName>
    <definedName name="_xlnm.Print_Area" localSheetId="1">'RICOH Data_FY2017～(segment)'!$A$1:$X$145</definedName>
    <definedName name="_xlnm.Print_Area" localSheetId="0">'RICOH Data_FY2021～(segment)'!$A$1:$AJ$149</definedName>
    <definedName name="_xlnm.Print_Titles" localSheetId="3">'RICOH Data_～FY2013(U.S.GAAP)'!$A:$C</definedName>
    <definedName name="_xlnm.Print_Titles" localSheetId="2">'RICOH Data_FY2013～(IFRS)'!$A:$C</definedName>
    <definedName name="_xlnm.Print_Titles" localSheetId="1">'RICOH Data_FY2017～(segment)'!$A:$C</definedName>
    <definedName name="_xlnm.Print_Titles" localSheetId="0">'RICOH Data_FY2021～(segment)'!$A:$C</definedName>
  </definedName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1" i="17" l="1"/>
  <c r="AC97" i="17"/>
  <c r="AC99" i="17" s="1"/>
  <c r="AC91" i="17"/>
  <c r="AC86" i="17"/>
  <c r="AC77" i="17"/>
  <c r="AC71" i="17"/>
  <c r="AC78" i="17" s="1"/>
  <c r="AC46" i="17"/>
  <c r="AC13" i="17"/>
  <c r="AC12" i="17"/>
  <c r="AC10" i="17"/>
  <c r="AB111" i="17"/>
  <c r="AB97" i="17"/>
  <c r="AB91" i="17"/>
  <c r="AB86" i="17"/>
  <c r="AB77" i="17"/>
  <c r="AB71" i="17"/>
  <c r="AB78" i="17" s="1"/>
  <c r="AB57" i="17"/>
  <c r="AB46" i="17"/>
  <c r="AB12" i="17"/>
  <c r="AB10" i="17"/>
  <c r="AC100" i="17" l="1"/>
  <c r="AC15" i="17" s="1"/>
  <c r="AB99" i="17"/>
  <c r="AB100" i="17" s="1"/>
  <c r="AB15" i="17" s="1"/>
  <c r="AJ141" i="17" l="1"/>
  <c r="AJ31" i="17"/>
  <c r="AI129" i="17"/>
  <c r="AJ129" i="17"/>
  <c r="X141" i="17"/>
  <c r="X129" i="17"/>
  <c r="X116" i="17"/>
  <c r="T129" i="17"/>
  <c r="AI105" i="17"/>
  <c r="AI76" i="17"/>
  <c r="AI75" i="17"/>
  <c r="AI74" i="17"/>
  <c r="AI73" i="17"/>
  <c r="AI72" i="17"/>
  <c r="AI70" i="17"/>
  <c r="AI69" i="17"/>
  <c r="AI68" i="17"/>
  <c r="AI67" i="17"/>
  <c r="AI66" i="17"/>
  <c r="AI65" i="17"/>
  <c r="AI64" i="17"/>
  <c r="AI26" i="17"/>
  <c r="AI25" i="17"/>
  <c r="AI24" i="17"/>
  <c r="W111" i="17"/>
  <c r="W77" i="17"/>
  <c r="AI77" i="17" s="1"/>
  <c r="W71" i="17"/>
  <c r="W57" i="17"/>
  <c r="W46" i="17"/>
  <c r="AI141" i="17"/>
  <c r="AI116" i="17"/>
  <c r="AI31" i="17"/>
  <c r="V77" i="17"/>
  <c r="T141" i="17"/>
  <c r="T116" i="17"/>
  <c r="T105" i="17"/>
  <c r="T62" i="17"/>
  <c r="T42" i="17"/>
  <c r="T31" i="17"/>
  <c r="U111" i="17"/>
  <c r="U13" i="17" s="1"/>
  <c r="U97" i="17"/>
  <c r="U91" i="17"/>
  <c r="U86" i="17"/>
  <c r="U77" i="17"/>
  <c r="U71" i="17"/>
  <c r="U78" i="17" s="1"/>
  <c r="U57" i="17"/>
  <c r="U46" i="17"/>
  <c r="U16" i="17"/>
  <c r="U12" i="17"/>
  <c r="U10" i="17"/>
  <c r="W78" i="17" l="1"/>
  <c r="AI78" i="17" s="1"/>
  <c r="AI71" i="17"/>
  <c r="V15" i="17"/>
  <c r="V78" i="17"/>
  <c r="U99" i="17"/>
  <c r="U100" i="17" s="1"/>
  <c r="U15" i="17" s="1"/>
  <c r="T111" i="17" l="1"/>
  <c r="AH69" i="17" l="1"/>
  <c r="AH68" i="17"/>
  <c r="AH67" i="17"/>
  <c r="AH66" i="17"/>
  <c r="AH65" i="17"/>
  <c r="AH64" i="17"/>
  <c r="AH31" i="17" l="1"/>
  <c r="AH42" i="17"/>
  <c r="AH62" i="17"/>
  <c r="AH105" i="17"/>
  <c r="AH116" i="17"/>
  <c r="AH129" i="17"/>
  <c r="AH141" i="17"/>
  <c r="S142" i="17"/>
  <c r="P141" i="17"/>
  <c r="P129" i="17"/>
  <c r="S117" i="17"/>
  <c r="P116" i="17"/>
  <c r="S106" i="17"/>
  <c r="Q106" i="17"/>
  <c r="P105" i="17"/>
  <c r="S63" i="17"/>
  <c r="P62" i="17"/>
  <c r="S43" i="17"/>
  <c r="P42" i="17"/>
  <c r="S32" i="17"/>
  <c r="P31" i="17"/>
  <c r="AG141" i="17"/>
  <c r="AG129" i="17"/>
  <c r="AG116" i="17"/>
  <c r="AG105" i="17"/>
  <c r="AG62" i="17"/>
  <c r="AG42" i="17"/>
  <c r="AG31" i="17"/>
  <c r="M106" i="17"/>
  <c r="M15" i="17"/>
  <c r="M12" i="17"/>
  <c r="M10" i="17"/>
  <c r="AF129" i="17"/>
  <c r="AE129" i="17"/>
  <c r="L141" i="17"/>
  <c r="L129" i="17"/>
  <c r="L116" i="17"/>
  <c r="L105" i="17"/>
  <c r="L62" i="17"/>
  <c r="L42" i="17"/>
  <c r="L31" i="17"/>
  <c r="L15" i="17"/>
  <c r="L12" i="17"/>
  <c r="L10" i="17"/>
  <c r="AE14" i="17" l="1"/>
  <c r="H129" i="17"/>
  <c r="D129" i="17"/>
  <c r="AF137" i="17"/>
  <c r="AE137" i="17"/>
  <c r="AF136" i="17"/>
  <c r="AE136" i="17"/>
  <c r="AF135" i="17"/>
  <c r="AE135" i="17"/>
  <c r="AF134" i="17"/>
  <c r="AE134" i="17"/>
  <c r="AF133" i="17"/>
  <c r="AE133" i="17"/>
  <c r="AF132" i="17"/>
  <c r="AE132" i="17"/>
  <c r="O142" i="17"/>
  <c r="O117" i="17"/>
  <c r="O106" i="17"/>
  <c r="O63" i="17"/>
  <c r="O43" i="17"/>
  <c r="O32" i="17"/>
  <c r="D145" i="17"/>
  <c r="K142" i="17"/>
  <c r="J142" i="17"/>
  <c r="G142" i="17"/>
  <c r="AF141" i="17"/>
  <c r="AE141" i="17"/>
  <c r="H141" i="17"/>
  <c r="D141" i="17"/>
  <c r="K117" i="17"/>
  <c r="J117" i="17"/>
  <c r="G117" i="17"/>
  <c r="AF116" i="17"/>
  <c r="AE116" i="17"/>
  <c r="H116" i="17"/>
  <c r="D116" i="17"/>
  <c r="I111" i="17"/>
  <c r="H111" i="17"/>
  <c r="G111" i="17"/>
  <c r="E111" i="17"/>
  <c r="E13" i="17" s="1"/>
  <c r="D111" i="17"/>
  <c r="D13" i="17" s="1"/>
  <c r="AF109" i="17"/>
  <c r="AE109" i="17"/>
  <c r="AF108" i="17"/>
  <c r="AE108" i="17"/>
  <c r="AF107" i="17"/>
  <c r="AE107" i="17"/>
  <c r="K106" i="17"/>
  <c r="J106" i="17"/>
  <c r="I106" i="17"/>
  <c r="G106" i="17"/>
  <c r="E106" i="17"/>
  <c r="AF105" i="17"/>
  <c r="AE105" i="17"/>
  <c r="H105" i="17"/>
  <c r="D105" i="17"/>
  <c r="AF100" i="17"/>
  <c r="AF99" i="17"/>
  <c r="AF98" i="17"/>
  <c r="AE98" i="17"/>
  <c r="AF97" i="17"/>
  <c r="H97" i="17"/>
  <c r="H99" i="17" s="1"/>
  <c r="G97" i="17"/>
  <c r="G99" i="17" s="1"/>
  <c r="AE99" i="17" s="1"/>
  <c r="E97" i="17"/>
  <c r="D97" i="17"/>
  <c r="D99" i="17" s="1"/>
  <c r="AF96" i="17"/>
  <c r="AE96" i="17"/>
  <c r="AF95" i="17"/>
  <c r="AE95" i="17"/>
  <c r="AF94" i="17"/>
  <c r="AE94" i="17"/>
  <c r="AF93" i="17"/>
  <c r="AE93" i="17"/>
  <c r="AF92" i="17"/>
  <c r="AE92" i="17"/>
  <c r="AF91" i="17"/>
  <c r="H91" i="17"/>
  <c r="G91" i="17"/>
  <c r="E91" i="17"/>
  <c r="D91" i="17"/>
  <c r="AF90" i="17"/>
  <c r="AE90" i="17"/>
  <c r="AF89" i="17"/>
  <c r="AE89" i="17"/>
  <c r="AF88" i="17"/>
  <c r="AE88" i="17"/>
  <c r="AF87" i="17"/>
  <c r="AE87" i="17"/>
  <c r="AF86" i="17"/>
  <c r="H86" i="17"/>
  <c r="G86" i="17"/>
  <c r="AE86" i="17" s="1"/>
  <c r="E86" i="17"/>
  <c r="D86" i="17"/>
  <c r="AE85" i="17"/>
  <c r="AF84" i="17"/>
  <c r="AE84" i="17"/>
  <c r="AF83" i="17"/>
  <c r="AE83" i="17"/>
  <c r="AF82" i="17"/>
  <c r="AE82" i="17"/>
  <c r="AF81" i="17"/>
  <c r="AE81" i="17"/>
  <c r="AF78" i="17"/>
  <c r="AF77" i="17"/>
  <c r="H77" i="17"/>
  <c r="G77" i="17"/>
  <c r="E77" i="17"/>
  <c r="D77" i="17"/>
  <c r="AF76" i="17"/>
  <c r="AE76" i="17"/>
  <c r="AF75" i="17"/>
  <c r="AE75" i="17"/>
  <c r="AF74" i="17"/>
  <c r="AE74" i="17"/>
  <c r="AF73" i="17"/>
  <c r="AE73" i="17"/>
  <c r="AF72" i="17"/>
  <c r="AE72" i="17"/>
  <c r="AF71" i="17"/>
  <c r="H71" i="17"/>
  <c r="G71" i="17"/>
  <c r="AE71" i="17" s="1"/>
  <c r="F71" i="17"/>
  <c r="E71" i="17"/>
  <c r="D71" i="17"/>
  <c r="AE70" i="17"/>
  <c r="AF69" i="17"/>
  <c r="AE69" i="17"/>
  <c r="AF68" i="17"/>
  <c r="AE68" i="17"/>
  <c r="AF67" i="17"/>
  <c r="AE67" i="17"/>
  <c r="AF66" i="17"/>
  <c r="AE66" i="17"/>
  <c r="AF65" i="17"/>
  <c r="AE65" i="17"/>
  <c r="AF64" i="17"/>
  <c r="AE64" i="17"/>
  <c r="K63" i="17"/>
  <c r="J63" i="17"/>
  <c r="G63" i="17"/>
  <c r="AF62" i="17"/>
  <c r="AE62" i="17"/>
  <c r="H62" i="17"/>
  <c r="D62" i="17"/>
  <c r="AF11" i="17"/>
  <c r="AE11" i="17"/>
  <c r="AE9" i="17"/>
  <c r="K43" i="17"/>
  <c r="J43" i="17"/>
  <c r="G43" i="17"/>
  <c r="AF42" i="17"/>
  <c r="AE42" i="17"/>
  <c r="H42" i="17"/>
  <c r="D42" i="17"/>
  <c r="AE36" i="17"/>
  <c r="K32" i="17"/>
  <c r="J32" i="17"/>
  <c r="G32" i="17"/>
  <c r="AF31" i="17"/>
  <c r="AE31" i="17"/>
  <c r="H31" i="17"/>
  <c r="D31" i="17"/>
  <c r="AF26" i="17"/>
  <c r="AF25" i="17"/>
  <c r="AF24" i="17"/>
  <c r="K15" i="17"/>
  <c r="J15" i="17"/>
  <c r="I15" i="17"/>
  <c r="K12" i="17"/>
  <c r="J12" i="17"/>
  <c r="I12" i="17"/>
  <c r="H12" i="17"/>
  <c r="E12" i="17"/>
  <c r="D12" i="17"/>
  <c r="K10" i="17"/>
  <c r="J10" i="17"/>
  <c r="I10" i="17"/>
  <c r="H10" i="17"/>
  <c r="E10" i="17"/>
  <c r="D10" i="17"/>
  <c r="AF8" i="17"/>
  <c r="AE8" i="17"/>
  <c r="X142" i="16"/>
  <c r="X141" i="16"/>
  <c r="X140" i="16"/>
  <c r="X139" i="16"/>
  <c r="X138" i="16"/>
  <c r="X135" i="16"/>
  <c r="X131" i="16"/>
  <c r="X130" i="16"/>
  <c r="X129" i="16"/>
  <c r="X128" i="16"/>
  <c r="X127" i="16"/>
  <c r="X126" i="16"/>
  <c r="X123" i="16"/>
  <c r="X114" i="16"/>
  <c r="X113" i="16"/>
  <c r="X116" i="16" s="1"/>
  <c r="X13" i="16" s="1"/>
  <c r="X112" i="16"/>
  <c r="X110" i="16"/>
  <c r="X104" i="16"/>
  <c r="X103" i="16"/>
  <c r="X102" i="16"/>
  <c r="X101" i="16"/>
  <c r="X100" i="16"/>
  <c r="X99" i="16"/>
  <c r="X98" i="16"/>
  <c r="X97" i="16"/>
  <c r="X96" i="16"/>
  <c r="X95" i="16"/>
  <c r="X94" i="16"/>
  <c r="X93" i="16"/>
  <c r="X92" i="16"/>
  <c r="X91" i="16"/>
  <c r="X16" i="16" s="1"/>
  <c r="X90" i="16"/>
  <c r="X89" i="16"/>
  <c r="X88" i="16"/>
  <c r="X87" i="16"/>
  <c r="X86" i="16"/>
  <c r="X85" i="16"/>
  <c r="X82" i="16"/>
  <c r="X81" i="16"/>
  <c r="X80" i="16"/>
  <c r="X79" i="16"/>
  <c r="X78" i="16"/>
  <c r="X77" i="16"/>
  <c r="X76" i="16"/>
  <c r="X75" i="16"/>
  <c r="X74" i="16"/>
  <c r="X73" i="16"/>
  <c r="X72" i="16"/>
  <c r="X71" i="16"/>
  <c r="X70" i="16"/>
  <c r="X69" i="16"/>
  <c r="X68" i="16"/>
  <c r="X66" i="16"/>
  <c r="X60" i="16"/>
  <c r="X59" i="16"/>
  <c r="X58" i="16"/>
  <c r="X56" i="16"/>
  <c r="X55" i="16"/>
  <c r="X57" i="16" s="1"/>
  <c r="X52" i="16"/>
  <c r="X51" i="16"/>
  <c r="X50" i="16"/>
  <c r="X49" i="16"/>
  <c r="X48" i="16"/>
  <c r="X46" i="16"/>
  <c r="X33" i="16"/>
  <c r="X26" i="16"/>
  <c r="X25" i="16"/>
  <c r="X24" i="16"/>
  <c r="X21" i="16"/>
  <c r="X20" i="16"/>
  <c r="X19" i="16"/>
  <c r="X15" i="16"/>
  <c r="X14" i="16"/>
  <c r="X12" i="16"/>
  <c r="X11" i="16"/>
  <c r="X10" i="16"/>
  <c r="X9" i="16"/>
  <c r="X8" i="16"/>
  <c r="S136" i="16"/>
  <c r="S124" i="16"/>
  <c r="S111" i="16"/>
  <c r="S67" i="16"/>
  <c r="S55" i="16"/>
  <c r="S47" i="16"/>
  <c r="S34" i="16"/>
  <c r="S15" i="16"/>
  <c r="S12" i="16"/>
  <c r="S10" i="16"/>
  <c r="H78" i="17" l="1"/>
  <c r="E78" i="17"/>
  <c r="D78" i="17"/>
  <c r="G78" i="17"/>
  <c r="AE78" i="17" s="1"/>
  <c r="AF15" i="17"/>
  <c r="AE111" i="17"/>
  <c r="AE13" i="17" s="1"/>
  <c r="AF16" i="17"/>
  <c r="AF12" i="17"/>
  <c r="AF10" i="17"/>
  <c r="AE16" i="17"/>
  <c r="AF111" i="17"/>
  <c r="AF13" i="17" s="1"/>
  <c r="AF9" i="17"/>
  <c r="AE77" i="17"/>
  <c r="D100" i="17"/>
  <c r="D15" i="17" s="1"/>
  <c r="AE12" i="17"/>
  <c r="H100" i="17"/>
  <c r="H15" i="17" s="1"/>
  <c r="AE10" i="17"/>
  <c r="G100" i="17"/>
  <c r="AE100" i="17" s="1"/>
  <c r="E99" i="17"/>
  <c r="E100" i="17" s="1"/>
  <c r="E15" i="17" s="1"/>
  <c r="AE91" i="17"/>
  <c r="AE97" i="17"/>
  <c r="AF14" i="17" s="1"/>
  <c r="R136" i="16"/>
  <c r="R124" i="16"/>
  <c r="R111" i="16"/>
  <c r="R67" i="16"/>
  <c r="R55" i="16"/>
  <c r="R47" i="16"/>
  <c r="R34" i="16"/>
  <c r="R15" i="16"/>
  <c r="R12" i="16"/>
  <c r="R10" i="16"/>
  <c r="AE15" i="17" l="1"/>
  <c r="Q116" i="16"/>
  <c r="Q111" i="16"/>
  <c r="Q55" i="16"/>
  <c r="Q15" i="16"/>
  <c r="Q12" i="16"/>
  <c r="Q10" i="16"/>
  <c r="P135" i="16" l="1"/>
  <c r="P123" i="16"/>
  <c r="P116" i="16"/>
  <c r="P110" i="16"/>
  <c r="P101" i="16"/>
  <c r="P103" i="16" s="1"/>
  <c r="P95" i="16"/>
  <c r="P90" i="16"/>
  <c r="P81" i="16"/>
  <c r="P75" i="16"/>
  <c r="P82" i="16" s="1"/>
  <c r="P66" i="16"/>
  <c r="P55" i="16"/>
  <c r="P46" i="16"/>
  <c r="P33" i="16"/>
  <c r="P12" i="16"/>
  <c r="P10" i="16"/>
  <c r="P104" i="16" l="1"/>
  <c r="P15" i="16" s="1"/>
  <c r="V74" i="16"/>
  <c r="W114" i="16" l="1"/>
  <c r="W113" i="16"/>
  <c r="W112" i="16"/>
  <c r="W116" i="16" s="1"/>
  <c r="W102" i="16"/>
  <c r="W101" i="16"/>
  <c r="W100" i="16"/>
  <c r="W99" i="16"/>
  <c r="W98" i="16"/>
  <c r="W97" i="16"/>
  <c r="W96" i="16"/>
  <c r="W94" i="16"/>
  <c r="W93" i="16"/>
  <c r="W92" i="16"/>
  <c r="W91" i="16"/>
  <c r="W89" i="16"/>
  <c r="W88" i="16"/>
  <c r="W87" i="16"/>
  <c r="W86" i="16"/>
  <c r="W85" i="16"/>
  <c r="O103" i="16"/>
  <c r="W103" i="16" s="1"/>
  <c r="O101" i="16"/>
  <c r="O95" i="16"/>
  <c r="W95" i="16" s="1"/>
  <c r="O90" i="16"/>
  <c r="O104" i="16" s="1"/>
  <c r="W104" i="16" s="1"/>
  <c r="W80" i="16"/>
  <c r="W79" i="16"/>
  <c r="W78" i="16"/>
  <c r="W77" i="16"/>
  <c r="W76" i="16"/>
  <c r="W75" i="16"/>
  <c r="W74" i="16"/>
  <c r="W73" i="16"/>
  <c r="W72" i="16"/>
  <c r="W71" i="16"/>
  <c r="W70" i="16"/>
  <c r="W69" i="16"/>
  <c r="W68" i="16"/>
  <c r="O81" i="16"/>
  <c r="W81" i="16" s="1"/>
  <c r="O75" i="16"/>
  <c r="O55" i="16"/>
  <c r="W38" i="16"/>
  <c r="N75" i="16"/>
  <c r="M75" i="16"/>
  <c r="L75" i="16"/>
  <c r="K75" i="16"/>
  <c r="W90" i="16" l="1"/>
  <c r="O82" i="16"/>
  <c r="W82" i="16" s="1"/>
  <c r="U19" i="16"/>
  <c r="M116" i="16" l="1"/>
  <c r="M111" i="16"/>
  <c r="M101" i="16"/>
  <c r="M103" i="16" s="1"/>
  <c r="M95" i="16"/>
  <c r="M90" i="16"/>
  <c r="M81" i="16"/>
  <c r="M82" i="16" s="1"/>
  <c r="M55" i="16"/>
  <c r="M57" i="16" s="1"/>
  <c r="M60" i="16" s="1"/>
  <c r="M51" i="16"/>
  <c r="M13" i="16"/>
  <c r="M12" i="16"/>
  <c r="M10" i="16"/>
  <c r="M104" i="16" l="1"/>
  <c r="M15" i="16" s="1"/>
  <c r="L139" i="16"/>
  <c r="O136" i="16"/>
  <c r="L135" i="16"/>
  <c r="O124" i="16"/>
  <c r="L123" i="16"/>
  <c r="O116" i="16"/>
  <c r="L116" i="16"/>
  <c r="L13" i="16" s="1"/>
  <c r="O111" i="16"/>
  <c r="L110" i="16"/>
  <c r="L101" i="16"/>
  <c r="L103" i="16" s="1"/>
  <c r="L95" i="16"/>
  <c r="L90" i="16"/>
  <c r="L81" i="16"/>
  <c r="L82" i="16"/>
  <c r="O67" i="16"/>
  <c r="L66" i="16"/>
  <c r="L55" i="16"/>
  <c r="W55" i="16" s="1"/>
  <c r="O47" i="16"/>
  <c r="L46" i="16"/>
  <c r="O34" i="16"/>
  <c r="L33" i="16"/>
  <c r="L12" i="16"/>
  <c r="L10" i="16"/>
  <c r="W142" i="16"/>
  <c r="W141" i="16"/>
  <c r="W140" i="16"/>
  <c r="W139" i="16"/>
  <c r="W138" i="16"/>
  <c r="W135" i="16"/>
  <c r="W131" i="16"/>
  <c r="W130" i="16"/>
  <c r="W129" i="16"/>
  <c r="W128" i="16"/>
  <c r="W127" i="16"/>
  <c r="W126" i="16"/>
  <c r="W123" i="16"/>
  <c r="W110" i="16"/>
  <c r="W66" i="16"/>
  <c r="W60" i="16"/>
  <c r="W11" i="16" s="1"/>
  <c r="W59" i="16"/>
  <c r="W58" i="16"/>
  <c r="W56" i="16"/>
  <c r="W54" i="16"/>
  <c r="W53" i="16"/>
  <c r="W52" i="16"/>
  <c r="W9" i="16" s="1"/>
  <c r="W51" i="16"/>
  <c r="W50" i="16"/>
  <c r="W49" i="16"/>
  <c r="W48" i="16"/>
  <c r="W46" i="16"/>
  <c r="W33" i="16"/>
  <c r="W21" i="16"/>
  <c r="W20" i="16"/>
  <c r="W19" i="16"/>
  <c r="W8" i="16"/>
  <c r="W16" i="16" l="1"/>
  <c r="L104" i="16"/>
  <c r="L15" i="16" s="1"/>
  <c r="W10" i="16"/>
  <c r="W12" i="16"/>
  <c r="W15" i="16"/>
  <c r="W13" i="16"/>
  <c r="W57" i="16"/>
  <c r="V142" i="16"/>
  <c r="U142" i="16"/>
  <c r="V141" i="16"/>
  <c r="U141" i="16"/>
  <c r="V140" i="16"/>
  <c r="U140" i="16"/>
  <c r="K139" i="16"/>
  <c r="J139" i="16"/>
  <c r="H139" i="16"/>
  <c r="G139" i="16"/>
  <c r="F139" i="16"/>
  <c r="E139" i="16"/>
  <c r="D139" i="16"/>
  <c r="V138" i="16"/>
  <c r="U138" i="16"/>
  <c r="K136" i="16"/>
  <c r="J136" i="16"/>
  <c r="G136" i="16"/>
  <c r="F136" i="16"/>
  <c r="V135" i="16"/>
  <c r="U135" i="16"/>
  <c r="H135" i="16"/>
  <c r="D135" i="16"/>
  <c r="V131" i="16"/>
  <c r="U131" i="16"/>
  <c r="V130" i="16"/>
  <c r="U130" i="16"/>
  <c r="V129" i="16"/>
  <c r="U129" i="16"/>
  <c r="V128" i="16"/>
  <c r="U128" i="16"/>
  <c r="V127" i="16"/>
  <c r="U127" i="16"/>
  <c r="V126" i="16"/>
  <c r="U126" i="16"/>
  <c r="K124" i="16"/>
  <c r="J124" i="16"/>
  <c r="G124" i="16"/>
  <c r="F124" i="16"/>
  <c r="V123" i="16"/>
  <c r="U123" i="16"/>
  <c r="H123" i="16"/>
  <c r="D123" i="16"/>
  <c r="K116" i="16"/>
  <c r="K13" i="16" s="1"/>
  <c r="J116" i="16"/>
  <c r="I116" i="16"/>
  <c r="H116" i="16"/>
  <c r="H13" i="16" s="1"/>
  <c r="G116" i="16"/>
  <c r="G13" i="16" s="1"/>
  <c r="F116" i="16"/>
  <c r="E116" i="16"/>
  <c r="D116" i="16"/>
  <c r="D13" i="16" s="1"/>
  <c r="U115" i="16"/>
  <c r="V114" i="16"/>
  <c r="U114" i="16"/>
  <c r="V113" i="16"/>
  <c r="U113" i="16"/>
  <c r="V112" i="16"/>
  <c r="U112" i="16"/>
  <c r="K111" i="16"/>
  <c r="J111" i="16"/>
  <c r="I111" i="16"/>
  <c r="G111" i="16"/>
  <c r="F111" i="16"/>
  <c r="E111" i="16"/>
  <c r="V110" i="16"/>
  <c r="U110" i="16"/>
  <c r="H110" i="16"/>
  <c r="D110" i="16"/>
  <c r="V102" i="16"/>
  <c r="U102" i="16"/>
  <c r="K101" i="16"/>
  <c r="K103" i="16" s="1"/>
  <c r="V103" i="16" s="1"/>
  <c r="J101" i="16"/>
  <c r="J103" i="16" s="1"/>
  <c r="I101" i="16"/>
  <c r="I103" i="16" s="1"/>
  <c r="H101" i="16"/>
  <c r="H103" i="16" s="1"/>
  <c r="G101" i="16"/>
  <c r="G103" i="16" s="1"/>
  <c r="U103" i="16" s="1"/>
  <c r="F101" i="16"/>
  <c r="F103" i="16" s="1"/>
  <c r="E101" i="16"/>
  <c r="E103" i="16" s="1"/>
  <c r="D101" i="16"/>
  <c r="D103" i="16" s="1"/>
  <c r="V98" i="16"/>
  <c r="U98" i="16"/>
  <c r="V99" i="16"/>
  <c r="U99" i="16"/>
  <c r="V100" i="16"/>
  <c r="U100" i="16"/>
  <c r="V97" i="16"/>
  <c r="U97" i="16"/>
  <c r="V96" i="16"/>
  <c r="U96" i="16"/>
  <c r="F95" i="16"/>
  <c r="E95" i="16"/>
  <c r="D95" i="16"/>
  <c r="K94" i="16"/>
  <c r="K95" i="16" s="1"/>
  <c r="V95" i="16" s="1"/>
  <c r="J94" i="16"/>
  <c r="J95" i="16" s="1"/>
  <c r="I94" i="16"/>
  <c r="I95" i="16" s="1"/>
  <c r="H94" i="16"/>
  <c r="H95" i="16" s="1"/>
  <c r="G94" i="16"/>
  <c r="G95" i="16" s="1"/>
  <c r="U95" i="16" s="1"/>
  <c r="V93" i="16"/>
  <c r="U93" i="16"/>
  <c r="V91" i="16"/>
  <c r="U91" i="16"/>
  <c r="E90" i="16"/>
  <c r="D90" i="16"/>
  <c r="K88" i="16"/>
  <c r="K90" i="16" s="1"/>
  <c r="J88" i="16"/>
  <c r="J90" i="16" s="1"/>
  <c r="I88" i="16"/>
  <c r="I90" i="16" s="1"/>
  <c r="H88" i="16"/>
  <c r="H90" i="16" s="1"/>
  <c r="G88" i="16"/>
  <c r="G90" i="16" s="1"/>
  <c r="F88" i="16"/>
  <c r="F90" i="16" s="1"/>
  <c r="V86" i="16"/>
  <c r="U86" i="16"/>
  <c r="V85" i="16"/>
  <c r="U85" i="16"/>
  <c r="U16" i="16" s="1"/>
  <c r="K81" i="16"/>
  <c r="V81" i="16" s="1"/>
  <c r="F81" i="16"/>
  <c r="E81" i="16"/>
  <c r="D81" i="16"/>
  <c r="V80" i="16"/>
  <c r="J80" i="16"/>
  <c r="J81" i="16" s="1"/>
  <c r="I80" i="16"/>
  <c r="I81" i="16" s="1"/>
  <c r="H80" i="16"/>
  <c r="H81" i="16" s="1"/>
  <c r="G80" i="16"/>
  <c r="G81" i="16" s="1"/>
  <c r="U81" i="16" s="1"/>
  <c r="V78" i="16"/>
  <c r="U78" i="16"/>
  <c r="V79" i="16"/>
  <c r="U79" i="16"/>
  <c r="V76" i="16"/>
  <c r="U76" i="16"/>
  <c r="V75" i="16"/>
  <c r="J75" i="16"/>
  <c r="I75" i="16"/>
  <c r="E75" i="16"/>
  <c r="E82" i="16" s="1"/>
  <c r="D75" i="16"/>
  <c r="D82" i="16" s="1"/>
  <c r="V73" i="16"/>
  <c r="H73" i="16"/>
  <c r="H75" i="16" s="1"/>
  <c r="G73" i="16"/>
  <c r="U73" i="16" s="1"/>
  <c r="F73" i="16"/>
  <c r="F75" i="16" s="1"/>
  <c r="V72" i="16"/>
  <c r="U72" i="16"/>
  <c r="V71" i="16"/>
  <c r="U71" i="16"/>
  <c r="V70" i="16"/>
  <c r="U70" i="16"/>
  <c r="V69" i="16"/>
  <c r="U69" i="16"/>
  <c r="V68" i="16"/>
  <c r="U68" i="16"/>
  <c r="K67" i="16"/>
  <c r="J67" i="16"/>
  <c r="G67" i="16"/>
  <c r="F67" i="16"/>
  <c r="V66" i="16"/>
  <c r="U66" i="16"/>
  <c r="H66" i="16"/>
  <c r="D66" i="16"/>
  <c r="V59" i="16"/>
  <c r="V58" i="16"/>
  <c r="U58" i="16"/>
  <c r="V56" i="16"/>
  <c r="U56" i="16"/>
  <c r="K55" i="16"/>
  <c r="J55" i="16"/>
  <c r="I55" i="16"/>
  <c r="H55" i="16"/>
  <c r="G55" i="16"/>
  <c r="F55" i="16"/>
  <c r="E55" i="16"/>
  <c r="D55" i="16"/>
  <c r="V54" i="16"/>
  <c r="U54" i="16"/>
  <c r="V53" i="16"/>
  <c r="U53" i="16"/>
  <c r="K52" i="16"/>
  <c r="J52" i="16"/>
  <c r="J57" i="16" s="1"/>
  <c r="J60" i="16" s="1"/>
  <c r="I52" i="16"/>
  <c r="H52" i="16"/>
  <c r="H51" i="16" s="1"/>
  <c r="G52" i="16"/>
  <c r="G51" i="16" s="1"/>
  <c r="F52" i="16"/>
  <c r="F57" i="16" s="1"/>
  <c r="F60" i="16" s="1"/>
  <c r="E52" i="16"/>
  <c r="D52" i="16"/>
  <c r="D51" i="16" s="1"/>
  <c r="V50" i="16"/>
  <c r="U50" i="16"/>
  <c r="K48" i="16"/>
  <c r="K49" i="16" s="1"/>
  <c r="J48" i="16"/>
  <c r="J49" i="16" s="1"/>
  <c r="I48" i="16"/>
  <c r="I12" i="16" s="1"/>
  <c r="H48" i="16"/>
  <c r="H12" i="16" s="1"/>
  <c r="G48" i="16"/>
  <c r="G49" i="16" s="1"/>
  <c r="F48" i="16"/>
  <c r="F49" i="16" s="1"/>
  <c r="E48" i="16"/>
  <c r="E12" i="16" s="1"/>
  <c r="D48" i="16"/>
  <c r="K47" i="16"/>
  <c r="J47" i="16"/>
  <c r="G47" i="16"/>
  <c r="F47" i="16"/>
  <c r="V46" i="16"/>
  <c r="U46" i="16"/>
  <c r="H46" i="16"/>
  <c r="D46" i="16"/>
  <c r="V38" i="16"/>
  <c r="K34" i="16"/>
  <c r="J34" i="16"/>
  <c r="G34" i="16"/>
  <c r="F34" i="16"/>
  <c r="V33" i="16"/>
  <c r="U33" i="16"/>
  <c r="H33" i="16"/>
  <c r="D33" i="16"/>
  <c r="U21" i="16"/>
  <c r="V20" i="16"/>
  <c r="U20" i="16"/>
  <c r="V19" i="16"/>
  <c r="J13" i="16"/>
  <c r="F13" i="16"/>
  <c r="U11" i="16"/>
  <c r="H10" i="16"/>
  <c r="V8" i="16"/>
  <c r="U8" i="16"/>
  <c r="J12" i="16" l="1"/>
  <c r="F12" i="16"/>
  <c r="D10" i="16"/>
  <c r="K10" i="16"/>
  <c r="F82" i="16"/>
  <c r="K51" i="16"/>
  <c r="G12" i="16"/>
  <c r="D12" i="16"/>
  <c r="K12" i="16"/>
  <c r="U116" i="16"/>
  <c r="U13" i="16" s="1"/>
  <c r="J10" i="16"/>
  <c r="V101" i="16"/>
  <c r="W14" i="16" s="1"/>
  <c r="H49" i="16"/>
  <c r="F10" i="16"/>
  <c r="I82" i="16"/>
  <c r="D104" i="16"/>
  <c r="D15" i="16" s="1"/>
  <c r="U139" i="16"/>
  <c r="G57" i="16"/>
  <c r="U52" i="16"/>
  <c r="U9" i="16" s="1"/>
  <c r="D57" i="16"/>
  <c r="D60" i="16" s="1"/>
  <c r="V55" i="16"/>
  <c r="V16" i="16"/>
  <c r="F104" i="16"/>
  <c r="F15" i="16" s="1"/>
  <c r="G10" i="16"/>
  <c r="E10" i="16"/>
  <c r="I10" i="16"/>
  <c r="G75" i="16"/>
  <c r="G82" i="16" s="1"/>
  <c r="U82" i="16" s="1"/>
  <c r="H104" i="16"/>
  <c r="H15" i="16" s="1"/>
  <c r="V116" i="16"/>
  <c r="V13" i="16" s="1"/>
  <c r="V139" i="16"/>
  <c r="K57" i="16"/>
  <c r="K60" i="16" s="1"/>
  <c r="U48" i="16"/>
  <c r="U12" i="16" s="1"/>
  <c r="D49" i="16"/>
  <c r="U101" i="16"/>
  <c r="K104" i="16"/>
  <c r="V90" i="16"/>
  <c r="J104" i="16"/>
  <c r="J15" i="16" s="1"/>
  <c r="J82" i="16"/>
  <c r="U90" i="16"/>
  <c r="G104" i="16"/>
  <c r="I104" i="16"/>
  <c r="I15" i="16" s="1"/>
  <c r="H82" i="16"/>
  <c r="E104" i="16"/>
  <c r="E15" i="16" s="1"/>
  <c r="K82" i="16"/>
  <c r="V82" i="16" s="1"/>
  <c r="U55" i="16"/>
  <c r="H57" i="16"/>
  <c r="H60" i="16" s="1"/>
  <c r="U80" i="16"/>
  <c r="U88" i="16"/>
  <c r="V48" i="16"/>
  <c r="V52" i="16"/>
  <c r="E57" i="16"/>
  <c r="E60" i="16" s="1"/>
  <c r="V88" i="16"/>
  <c r="U94" i="16"/>
  <c r="E49" i="16"/>
  <c r="I49" i="16"/>
  <c r="E51" i="16"/>
  <c r="I51" i="16"/>
  <c r="I57" i="16"/>
  <c r="I60" i="16" s="1"/>
  <c r="F51" i="16"/>
  <c r="J51" i="16"/>
  <c r="V94" i="16"/>
  <c r="AB137" i="15"/>
  <c r="AB136" i="15"/>
  <c r="AB135" i="15"/>
  <c r="AB133" i="15"/>
  <c r="AB126" i="15"/>
  <c r="AB125" i="15"/>
  <c r="AB124" i="15"/>
  <c r="AB123" i="15"/>
  <c r="AB122" i="15"/>
  <c r="AB121" i="15"/>
  <c r="AB110" i="15"/>
  <c r="AB109" i="15"/>
  <c r="AB108" i="15"/>
  <c r="AB107" i="15"/>
  <c r="AB97" i="15"/>
  <c r="AB95" i="15"/>
  <c r="AB94" i="15"/>
  <c r="AB93" i="15"/>
  <c r="AB92" i="15"/>
  <c r="AB91" i="15"/>
  <c r="AB89" i="15"/>
  <c r="AB88" i="15"/>
  <c r="AB87" i="15"/>
  <c r="AB85" i="15"/>
  <c r="AB84" i="15"/>
  <c r="AB83" i="15"/>
  <c r="AB78" i="15"/>
  <c r="AB77" i="15"/>
  <c r="AB76" i="15"/>
  <c r="AB75" i="15"/>
  <c r="AB73" i="15"/>
  <c r="AB72" i="15"/>
  <c r="AB71" i="15"/>
  <c r="AB70" i="15"/>
  <c r="AB69" i="15"/>
  <c r="AB68" i="15"/>
  <c r="AB59" i="15"/>
  <c r="AB58" i="15"/>
  <c r="AB56" i="15"/>
  <c r="AB54" i="15"/>
  <c r="AB53" i="15"/>
  <c r="AB50" i="15"/>
  <c r="AB26" i="15"/>
  <c r="AB25" i="15"/>
  <c r="AB24" i="15"/>
  <c r="AB21" i="15"/>
  <c r="AB20" i="15"/>
  <c r="AB19" i="15"/>
  <c r="AB8" i="15"/>
  <c r="AB33" i="15"/>
  <c r="AB38" i="15"/>
  <c r="AB46" i="15"/>
  <c r="AB66" i="15"/>
  <c r="AB105" i="15"/>
  <c r="AB118" i="15"/>
  <c r="AB130" i="15"/>
  <c r="V134" i="15"/>
  <c r="U134" i="15"/>
  <c r="T134" i="15"/>
  <c r="U131" i="15"/>
  <c r="U119" i="15"/>
  <c r="V111" i="15"/>
  <c r="U111" i="15"/>
  <c r="U13" i="15" s="1"/>
  <c r="T111" i="15"/>
  <c r="T13" i="15" s="1"/>
  <c r="U106" i="15"/>
  <c r="T106" i="15"/>
  <c r="V96" i="15"/>
  <c r="V98" i="15" s="1"/>
  <c r="AB98" i="15" s="1"/>
  <c r="U96" i="15"/>
  <c r="U98" i="15" s="1"/>
  <c r="T96" i="15"/>
  <c r="T98" i="15" s="1"/>
  <c r="V90" i="15"/>
  <c r="AB90" i="15" s="1"/>
  <c r="U90" i="15"/>
  <c r="T90" i="15"/>
  <c r="V86" i="15"/>
  <c r="U86" i="15"/>
  <c r="T86" i="15"/>
  <c r="V79" i="15"/>
  <c r="AB79" i="15" s="1"/>
  <c r="U79" i="15"/>
  <c r="T79" i="15"/>
  <c r="V74" i="15"/>
  <c r="U74" i="15"/>
  <c r="T74" i="15"/>
  <c r="U67" i="15"/>
  <c r="V55" i="15"/>
  <c r="U55" i="15"/>
  <c r="T55" i="15"/>
  <c r="V52" i="15"/>
  <c r="V51" i="15" s="1"/>
  <c r="U52" i="15"/>
  <c r="U51" i="15" s="1"/>
  <c r="T52" i="15"/>
  <c r="V48" i="15"/>
  <c r="V49" i="15" s="1"/>
  <c r="U48" i="15"/>
  <c r="U49" i="15" s="1"/>
  <c r="T48" i="15"/>
  <c r="T49" i="15" s="1"/>
  <c r="U47" i="15"/>
  <c r="U34" i="15"/>
  <c r="V13" i="15"/>
  <c r="U57" i="16" l="1"/>
  <c r="U75" i="16"/>
  <c r="V51" i="16"/>
  <c r="U49" i="16"/>
  <c r="AB111" i="15"/>
  <c r="AB13" i="15" s="1"/>
  <c r="V49" i="16"/>
  <c r="V60" i="16"/>
  <c r="V12" i="16" s="1"/>
  <c r="U10" i="16"/>
  <c r="U51" i="16"/>
  <c r="G15" i="16"/>
  <c r="U104" i="16"/>
  <c r="U15" i="16" s="1"/>
  <c r="V10" i="16"/>
  <c r="V57" i="16"/>
  <c r="V9" i="16"/>
  <c r="V104" i="16"/>
  <c r="V15" i="16" s="1"/>
  <c r="K15" i="16"/>
  <c r="U10" i="15"/>
  <c r="AB49" i="15"/>
  <c r="AB16" i="15"/>
  <c r="AB55" i="15"/>
  <c r="T80" i="15"/>
  <c r="V99" i="15"/>
  <c r="AB99" i="15" s="1"/>
  <c r="AB134" i="15"/>
  <c r="V57" i="15"/>
  <c r="V60" i="15" s="1"/>
  <c r="U12" i="15"/>
  <c r="T57" i="15"/>
  <c r="T60" i="15" s="1"/>
  <c r="AB52" i="15"/>
  <c r="V12" i="15"/>
  <c r="T51" i="15"/>
  <c r="AB51" i="15" s="1"/>
  <c r="U57" i="15"/>
  <c r="U60" i="15" s="1"/>
  <c r="V80" i="15"/>
  <c r="AB80" i="15" s="1"/>
  <c r="T99" i="15"/>
  <c r="T15" i="15" s="1"/>
  <c r="U80" i="15"/>
  <c r="AB48" i="15"/>
  <c r="AB86" i="15"/>
  <c r="T10" i="15"/>
  <c r="U99" i="15"/>
  <c r="U15" i="15" s="1"/>
  <c r="AB74" i="15"/>
  <c r="AB96" i="15"/>
  <c r="T12" i="15"/>
  <c r="Z38" i="15"/>
  <c r="V11" i="16" l="1"/>
  <c r="V14" i="16" s="1"/>
  <c r="AB10" i="15"/>
  <c r="AB15" i="15"/>
  <c r="AB9" i="15"/>
  <c r="AB57" i="15"/>
  <c r="AB60" i="15"/>
  <c r="AA137" i="15"/>
  <c r="AA136" i="15"/>
  <c r="AA135" i="15"/>
  <c r="AA133" i="15"/>
  <c r="AA130" i="15"/>
  <c r="AA126" i="15"/>
  <c r="AA125" i="15"/>
  <c r="AA124" i="15"/>
  <c r="AA123" i="15"/>
  <c r="AA122" i="15"/>
  <c r="AA121" i="15"/>
  <c r="AA118" i="15"/>
  <c r="AA110" i="15"/>
  <c r="AA109" i="15"/>
  <c r="AA108" i="15"/>
  <c r="AA107" i="15"/>
  <c r="AA105" i="15"/>
  <c r="AA66" i="15"/>
  <c r="AA46" i="15"/>
  <c r="AA33" i="15"/>
  <c r="AA97" i="15"/>
  <c r="AA95" i="15"/>
  <c r="AA94" i="15"/>
  <c r="AA93" i="15"/>
  <c r="AA92" i="15"/>
  <c r="AA91" i="15"/>
  <c r="AA89" i="15"/>
  <c r="AA88" i="15"/>
  <c r="AA87" i="15"/>
  <c r="AA85" i="15"/>
  <c r="AA84" i="15"/>
  <c r="AA83" i="15"/>
  <c r="AA78" i="15"/>
  <c r="AA77" i="15"/>
  <c r="AA76" i="15"/>
  <c r="AA75" i="15"/>
  <c r="AA73" i="15"/>
  <c r="AA72" i="15"/>
  <c r="AA71" i="15"/>
  <c r="AA70" i="15"/>
  <c r="AA69" i="15"/>
  <c r="AA68" i="15"/>
  <c r="AA59" i="15"/>
  <c r="AA58" i="15"/>
  <c r="AA56" i="15"/>
  <c r="AA54" i="15"/>
  <c r="AA53" i="15"/>
  <c r="AA50" i="15"/>
  <c r="AA38" i="15"/>
  <c r="AA26" i="15"/>
  <c r="AA25" i="15"/>
  <c r="AA24" i="15"/>
  <c r="AA21" i="15"/>
  <c r="AA20" i="15"/>
  <c r="AA19" i="15"/>
  <c r="AA8" i="15"/>
  <c r="S134" i="15"/>
  <c r="R134" i="15"/>
  <c r="Q134" i="15"/>
  <c r="P134" i="15"/>
  <c r="S111" i="15"/>
  <c r="S13" i="15" s="1"/>
  <c r="R111" i="15"/>
  <c r="R13" i="15" s="1"/>
  <c r="P111" i="15"/>
  <c r="P13" i="15" s="1"/>
  <c r="S96" i="15"/>
  <c r="AA96" i="15" s="1"/>
  <c r="R96" i="15"/>
  <c r="R98" i="15" s="1"/>
  <c r="P96" i="15"/>
  <c r="P98" i="15" s="1"/>
  <c r="S90" i="15"/>
  <c r="AA90" i="15" s="1"/>
  <c r="R90" i="15"/>
  <c r="P90" i="15"/>
  <c r="S86" i="15"/>
  <c r="AA86" i="15" s="1"/>
  <c r="R86" i="15"/>
  <c r="P86" i="15"/>
  <c r="S79" i="15"/>
  <c r="AA79" i="15" s="1"/>
  <c r="Q79" i="15"/>
  <c r="P79" i="15"/>
  <c r="S74" i="15"/>
  <c r="AA74" i="15" s="1"/>
  <c r="Q74" i="15"/>
  <c r="P74" i="15"/>
  <c r="S55" i="15"/>
  <c r="S52" i="15"/>
  <c r="R52" i="15"/>
  <c r="Q52" i="15"/>
  <c r="Q51" i="15" s="1"/>
  <c r="P52" i="15"/>
  <c r="P51" i="15" s="1"/>
  <c r="S51" i="15"/>
  <c r="R51" i="15"/>
  <c r="S48" i="15"/>
  <c r="S49" i="15" s="1"/>
  <c r="R48" i="15"/>
  <c r="R12" i="15" s="1"/>
  <c r="Q48" i="15"/>
  <c r="P48" i="15"/>
  <c r="P49" i="15" s="1"/>
  <c r="S12" i="15"/>
  <c r="R131" i="15"/>
  <c r="P131" i="15"/>
  <c r="P130" i="15"/>
  <c r="R119" i="15"/>
  <c r="P119" i="15"/>
  <c r="P118" i="15"/>
  <c r="Q111" i="15"/>
  <c r="Q13" i="15" s="1"/>
  <c r="R106" i="15"/>
  <c r="Q106" i="15"/>
  <c r="P106" i="15"/>
  <c r="P105" i="15"/>
  <c r="Q96" i="15"/>
  <c r="Q98" i="15" s="1"/>
  <c r="Q90" i="15"/>
  <c r="Q86" i="15"/>
  <c r="R79" i="15"/>
  <c r="R74" i="15"/>
  <c r="R67" i="15"/>
  <c r="P67" i="15"/>
  <c r="P66" i="15"/>
  <c r="R55" i="15"/>
  <c r="Q55" i="15"/>
  <c r="P55" i="15"/>
  <c r="R47" i="15"/>
  <c r="P47" i="15"/>
  <c r="P46" i="15"/>
  <c r="R34" i="15"/>
  <c r="P34" i="15"/>
  <c r="P33" i="15"/>
  <c r="R49" i="15" l="1"/>
  <c r="Q80" i="15"/>
  <c r="Q57" i="15"/>
  <c r="Q60" i="15" s="1"/>
  <c r="Q10" i="15"/>
  <c r="R57" i="15"/>
  <c r="R60" i="15" s="1"/>
  <c r="P80" i="15"/>
  <c r="AB11" i="15"/>
  <c r="AB12" i="15"/>
  <c r="AB14" i="15"/>
  <c r="R10" i="15"/>
  <c r="S57" i="15"/>
  <c r="S60" i="15" s="1"/>
  <c r="AA16" i="15"/>
  <c r="R80" i="15"/>
  <c r="Q49" i="15"/>
  <c r="S98" i="15"/>
  <c r="S80" i="15"/>
  <c r="AA80" i="15" s="1"/>
  <c r="AA134" i="15"/>
  <c r="R99" i="15"/>
  <c r="R15" i="15" s="1"/>
  <c r="AA52" i="15"/>
  <c r="AA9" i="15" s="1"/>
  <c r="AA111" i="15"/>
  <c r="AA13" i="15" s="1"/>
  <c r="AA55" i="15"/>
  <c r="AA49" i="15"/>
  <c r="AA51" i="15"/>
  <c r="AA48" i="15"/>
  <c r="AA10" i="15" s="1"/>
  <c r="P99" i="15"/>
  <c r="P15" i="15" s="1"/>
  <c r="Q99" i="15"/>
  <c r="Q15" i="15" s="1"/>
  <c r="P57" i="15"/>
  <c r="P60" i="15" s="1"/>
  <c r="P10" i="15"/>
  <c r="P12" i="15"/>
  <c r="Q12" i="15"/>
  <c r="AA60" i="15" l="1"/>
  <c r="AA14" i="15" s="1"/>
  <c r="AA98" i="15"/>
  <c r="S99" i="15"/>
  <c r="AA99" i="15" s="1"/>
  <c r="AA15" i="15" s="1"/>
  <c r="AA57" i="15"/>
  <c r="AA12" i="15"/>
  <c r="Z21" i="15"/>
  <c r="Y21" i="15"/>
  <c r="X21" i="15"/>
  <c r="Z20" i="15"/>
  <c r="Y20" i="15"/>
  <c r="X20" i="15"/>
  <c r="Z19" i="15"/>
  <c r="Y19" i="15"/>
  <c r="X19" i="15"/>
  <c r="AA11" i="15" l="1"/>
  <c r="N131" i="15"/>
  <c r="N119" i="15"/>
  <c r="N111" i="15"/>
  <c r="N106" i="15"/>
  <c r="N96" i="15"/>
  <c r="N98" i="15" s="1"/>
  <c r="N90" i="15"/>
  <c r="N86" i="15"/>
  <c r="N79" i="15"/>
  <c r="N74" i="15"/>
  <c r="N67" i="15"/>
  <c r="N55" i="15"/>
  <c r="N57" i="15" s="1"/>
  <c r="N60" i="15" s="1"/>
  <c r="N47" i="15"/>
  <c r="N34" i="15"/>
  <c r="N12" i="15"/>
  <c r="N10" i="15"/>
  <c r="N80" i="15" l="1"/>
  <c r="N99" i="15"/>
  <c r="N15" i="15" s="1"/>
  <c r="M111" i="15"/>
  <c r="M106" i="15"/>
  <c r="M96" i="15"/>
  <c r="M98" i="15" s="1"/>
  <c r="M90" i="15"/>
  <c r="M86" i="15"/>
  <c r="M79" i="15"/>
  <c r="M74" i="15"/>
  <c r="M55" i="15"/>
  <c r="M57" i="15" s="1"/>
  <c r="M60" i="15" s="1"/>
  <c r="M13" i="15"/>
  <c r="M12" i="15"/>
  <c r="M10" i="15"/>
  <c r="M80" i="15" l="1"/>
  <c r="M99" i="15"/>
  <c r="M15" i="15" s="1"/>
  <c r="Y130" i="15"/>
  <c r="Y118" i="15"/>
  <c r="X33" i="15"/>
  <c r="X46" i="15"/>
  <c r="X66" i="15"/>
  <c r="X105" i="15"/>
  <c r="X118" i="15"/>
  <c r="X130" i="15"/>
  <c r="L105" i="15"/>
  <c r="H105" i="15"/>
  <c r="D130" i="15"/>
  <c r="D118" i="15"/>
  <c r="D105" i="15"/>
  <c r="D66" i="15"/>
  <c r="D46" i="15"/>
  <c r="D33" i="15"/>
  <c r="L131" i="15" l="1"/>
  <c r="L119" i="15"/>
  <c r="L106" i="15"/>
  <c r="L67" i="15"/>
  <c r="L47" i="15"/>
  <c r="L34" i="15"/>
  <c r="H130" i="15"/>
  <c r="H118" i="15"/>
  <c r="K106" i="15"/>
  <c r="J106" i="15"/>
  <c r="I106" i="15"/>
  <c r="I96" i="15"/>
  <c r="I98" i="15" s="1"/>
  <c r="I90" i="15"/>
  <c r="I86" i="15"/>
  <c r="I79" i="15"/>
  <c r="I74" i="15"/>
  <c r="H66" i="15"/>
  <c r="K55" i="15"/>
  <c r="K57" i="15" s="1"/>
  <c r="K60" i="15" s="1"/>
  <c r="K11" i="15" s="1"/>
  <c r="K12" i="15" s="1"/>
  <c r="J55" i="15"/>
  <c r="J57" i="15" s="1"/>
  <c r="J60" i="15" s="1"/>
  <c r="I55" i="15"/>
  <c r="I57" i="15" s="1"/>
  <c r="I60" i="15" s="1"/>
  <c r="H55" i="15"/>
  <c r="H57" i="15" s="1"/>
  <c r="H60" i="15" s="1"/>
  <c r="H46" i="15"/>
  <c r="H33" i="15"/>
  <c r="K16" i="15"/>
  <c r="J16" i="15"/>
  <c r="I16" i="15"/>
  <c r="K15" i="15"/>
  <c r="J15" i="15"/>
  <c r="H15" i="15"/>
  <c r="K13" i="15"/>
  <c r="J13" i="15"/>
  <c r="I13" i="15"/>
  <c r="J12" i="15"/>
  <c r="I12" i="15"/>
  <c r="H12" i="15"/>
  <c r="K10" i="15"/>
  <c r="J10" i="15"/>
  <c r="I10" i="15"/>
  <c r="H10" i="15"/>
  <c r="K9" i="15"/>
  <c r="L130" i="15"/>
  <c r="L118" i="15"/>
  <c r="L66" i="15"/>
  <c r="L55" i="15"/>
  <c r="L57" i="15" s="1"/>
  <c r="L60" i="15" s="1"/>
  <c r="L46" i="15"/>
  <c r="L33" i="15"/>
  <c r="L15" i="15"/>
  <c r="L12" i="15"/>
  <c r="L10" i="15"/>
  <c r="I99" i="15" l="1"/>
  <c r="I15" i="15" s="1"/>
  <c r="I80" i="15"/>
  <c r="Y105" i="15"/>
  <c r="Y66" i="15"/>
  <c r="Y46" i="15"/>
  <c r="Y33" i="15"/>
  <c r="Y137" i="15"/>
  <c r="Y136" i="15"/>
  <c r="Y135" i="15"/>
  <c r="Y134" i="15"/>
  <c r="Y133" i="15"/>
  <c r="Y126" i="15"/>
  <c r="Y125" i="15"/>
  <c r="Y124" i="15"/>
  <c r="Y123" i="15"/>
  <c r="Y122" i="15"/>
  <c r="Y121" i="15"/>
  <c r="Y110" i="15"/>
  <c r="Y109" i="15"/>
  <c r="Y108" i="15"/>
  <c r="Y107" i="15"/>
  <c r="Y99" i="15"/>
  <c r="Y98" i="15"/>
  <c r="Y97" i="15"/>
  <c r="Y96" i="15"/>
  <c r="Y95" i="15"/>
  <c r="Y94" i="15"/>
  <c r="Y93" i="15"/>
  <c r="Y92" i="15"/>
  <c r="Y91" i="15"/>
  <c r="Y90" i="15"/>
  <c r="Y89" i="15"/>
  <c r="Y88" i="15"/>
  <c r="Y87" i="15"/>
  <c r="Y86" i="15"/>
  <c r="Y85" i="15"/>
  <c r="Y84" i="15"/>
  <c r="Y83" i="15"/>
  <c r="Y16" i="15" s="1"/>
  <c r="Y80" i="15"/>
  <c r="Y79" i="15"/>
  <c r="Y78" i="15"/>
  <c r="Y77" i="15"/>
  <c r="Y76" i="15"/>
  <c r="Y75" i="15"/>
  <c r="Y74" i="15"/>
  <c r="Y73" i="15"/>
  <c r="Y72" i="15"/>
  <c r="Y71" i="15"/>
  <c r="Y70" i="15"/>
  <c r="Y69" i="15"/>
  <c r="Y68" i="15"/>
  <c r="Y60" i="15"/>
  <c r="Y59" i="15"/>
  <c r="Y58" i="15"/>
  <c r="Y57" i="15"/>
  <c r="Y56" i="15"/>
  <c r="Y55" i="15"/>
  <c r="Y54" i="15"/>
  <c r="Y53" i="15"/>
  <c r="Y52" i="15"/>
  <c r="Y9" i="15" s="1"/>
  <c r="Y51" i="15"/>
  <c r="Y50" i="15"/>
  <c r="Y49" i="15"/>
  <c r="Y48" i="15"/>
  <c r="Y8" i="15" s="1"/>
  <c r="Y38" i="15"/>
  <c r="Y26" i="15"/>
  <c r="Y25" i="15"/>
  <c r="Y24" i="15"/>
  <c r="Y10" i="15" l="1"/>
  <c r="Y15" i="15"/>
  <c r="Y12" i="15"/>
  <c r="Y11" i="15"/>
  <c r="Y14" i="15"/>
  <c r="Y111" i="15"/>
  <c r="Y13" i="15" s="1"/>
  <c r="O21" i="14" l="1"/>
  <c r="O20" i="14"/>
  <c r="O19" i="14"/>
  <c r="O16" i="14"/>
  <c r="O15" i="14"/>
  <c r="O14" i="14"/>
  <c r="O12" i="14"/>
  <c r="O10" i="14"/>
  <c r="N109" i="14" l="1"/>
  <c r="N108" i="14"/>
  <c r="N107" i="14"/>
  <c r="N56" i="14"/>
  <c r="N16" i="14"/>
  <c r="N15" i="14"/>
  <c r="N14" i="14"/>
  <c r="N12" i="14"/>
  <c r="N11" i="14"/>
  <c r="N10" i="14"/>
  <c r="N9" i="14"/>
  <c r="M111" i="14"/>
  <c r="M13" i="14" s="1"/>
  <c r="M16" i="14"/>
  <c r="M15" i="14"/>
  <c r="M14" i="14"/>
  <c r="M12" i="14"/>
  <c r="M11" i="14"/>
  <c r="M10" i="14"/>
  <c r="M9" i="14"/>
  <c r="M8" i="14"/>
  <c r="R137" i="14"/>
  <c r="R136" i="14"/>
  <c r="R135" i="14"/>
  <c r="R133" i="14"/>
  <c r="R126" i="14"/>
  <c r="R125" i="14"/>
  <c r="R124" i="14"/>
  <c r="R123" i="14"/>
  <c r="R122" i="14"/>
  <c r="R110" i="14"/>
  <c r="R99" i="14"/>
  <c r="R98" i="14"/>
  <c r="R97" i="14"/>
  <c r="R96" i="14"/>
  <c r="R95" i="14"/>
  <c r="R94" i="14"/>
  <c r="R93" i="14"/>
  <c r="R92" i="14"/>
  <c r="R91" i="14"/>
  <c r="R90" i="14"/>
  <c r="R89" i="14"/>
  <c r="R88" i="14"/>
  <c r="R87" i="14"/>
  <c r="R86" i="14"/>
  <c r="R85" i="14"/>
  <c r="R84" i="14"/>
  <c r="R83" i="14"/>
  <c r="R80" i="14"/>
  <c r="R79" i="14"/>
  <c r="R78" i="14"/>
  <c r="R77" i="14"/>
  <c r="R76" i="14"/>
  <c r="R75" i="14"/>
  <c r="R74" i="14"/>
  <c r="R73" i="14"/>
  <c r="R72" i="14"/>
  <c r="R70" i="14"/>
  <c r="R69" i="14"/>
  <c r="R61" i="14"/>
  <c r="R60" i="14"/>
  <c r="R59" i="14"/>
  <c r="R58" i="14"/>
  <c r="R57" i="14"/>
  <c r="R55" i="14"/>
  <c r="R54" i="14"/>
  <c r="R53" i="14"/>
  <c r="R52" i="14"/>
  <c r="R51" i="14"/>
  <c r="R50" i="14"/>
  <c r="R49" i="14"/>
  <c r="R48" i="14"/>
  <c r="R26" i="14"/>
  <c r="R25" i="14"/>
  <c r="R24" i="14"/>
  <c r="J134" i="14"/>
  <c r="R134" i="14" s="1"/>
  <c r="J121" i="14"/>
  <c r="R121" i="14" s="1"/>
  <c r="H118" i="14"/>
  <c r="I107" i="14"/>
  <c r="J107" i="14" s="1"/>
  <c r="I108" i="14"/>
  <c r="J108" i="14" s="1"/>
  <c r="K108" i="14" s="1"/>
  <c r="H111" i="14"/>
  <c r="I109" i="14"/>
  <c r="J109" i="14" s="1"/>
  <c r="K109" i="14" s="1"/>
  <c r="H105" i="14"/>
  <c r="H67" i="14"/>
  <c r="J56" i="14"/>
  <c r="R56" i="14" s="1"/>
  <c r="H46" i="14"/>
  <c r="H33" i="14"/>
  <c r="K21" i="14"/>
  <c r="R21" i="14" s="1"/>
  <c r="K20" i="14"/>
  <c r="R20" i="14" s="1"/>
  <c r="K19" i="14"/>
  <c r="R19" i="14" s="1"/>
  <c r="D111" i="14"/>
  <c r="E107" i="14"/>
  <c r="F107" i="14" s="1"/>
  <c r="E108" i="14"/>
  <c r="F108" i="14" s="1"/>
  <c r="G108" i="14" s="1"/>
  <c r="E109" i="14"/>
  <c r="F109" i="14" s="1"/>
  <c r="G109" i="14" s="1"/>
  <c r="D121" i="14"/>
  <c r="E121" i="14"/>
  <c r="F121" i="14"/>
  <c r="G121" i="14"/>
  <c r="D134" i="14"/>
  <c r="E134" i="14"/>
  <c r="F134" i="14"/>
  <c r="G134" i="14"/>
  <c r="F111" i="14" l="1"/>
  <c r="O107" i="14"/>
  <c r="N111" i="14"/>
  <c r="N13" i="14" s="1"/>
  <c r="O108" i="14"/>
  <c r="E111" i="14"/>
  <c r="O109" i="14"/>
  <c r="J111" i="14"/>
  <c r="K107" i="14"/>
  <c r="K111" i="14" s="1"/>
  <c r="R108" i="14"/>
  <c r="G107" i="14"/>
  <c r="G111" i="14" s="1"/>
  <c r="I111" i="14"/>
  <c r="R109" i="14"/>
  <c r="O111" i="14" l="1"/>
  <c r="O13" i="14" s="1"/>
  <c r="R107" i="14"/>
  <c r="R111" i="14" s="1"/>
</calcChain>
</file>

<file path=xl/sharedStrings.xml><?xml version="1.0" encoding="utf-8"?>
<sst xmlns="http://schemas.openxmlformats.org/spreadsheetml/2006/main" count="966" uniqueCount="209">
  <si>
    <t>1.Key Financial Figures</t>
    <phoneticPr fontId="2"/>
  </si>
  <si>
    <t>FY2019</t>
    <phoneticPr fontId="2"/>
  </si>
  <si>
    <t>　</t>
    <phoneticPr fontId="2"/>
  </si>
  <si>
    <t>FY2020</t>
    <phoneticPr fontId="2"/>
  </si>
  <si>
    <t>FY2021</t>
  </si>
  <si>
    <t>FY2022</t>
    <phoneticPr fontId="2"/>
  </si>
  <si>
    <t>FY2020</t>
  </si>
  <si>
    <t>FY2021</t>
    <phoneticPr fontId="2"/>
  </si>
  <si>
    <t>FY2022</t>
  </si>
  <si>
    <t>Q1</t>
  </si>
  <si>
    <t>Q2</t>
  </si>
  <si>
    <t>Q3</t>
  </si>
  <si>
    <t>Q4</t>
  </si>
  <si>
    <t>Selected Consolidated Financial Data (million yen)　</t>
    <phoneticPr fontId="2"/>
  </si>
  <si>
    <t>Sales</t>
    <phoneticPr fontId="2"/>
  </si>
  <si>
    <t>Operating profit</t>
    <phoneticPr fontId="2"/>
  </si>
  <si>
    <t>Percentage of sales</t>
    <phoneticPr fontId="2"/>
  </si>
  <si>
    <t>Profit attributable to owners of the parent</t>
    <phoneticPr fontId="2"/>
  </si>
  <si>
    <t>Free Cash Flow</t>
    <phoneticPr fontId="2"/>
  </si>
  <si>
    <t>Return of Equity (ROE)</t>
  </si>
  <si>
    <t>Equity ratio</t>
  </si>
  <si>
    <t>Debt</t>
    <phoneticPr fontId="2"/>
  </si>
  <si>
    <t>R&amp;D, Depreciation and Capital investments (million yen)</t>
    <phoneticPr fontId="3"/>
  </si>
  <si>
    <t>R&amp;D Expenditure</t>
  </si>
  <si>
    <t>Depreciation for tangible fixed assets</t>
  </si>
  <si>
    <t>Capital Investments</t>
  </si>
  <si>
    <t>Consolidated number of employees (thousand people)</t>
    <phoneticPr fontId="2"/>
  </si>
  <si>
    <t>Japan</t>
  </si>
  <si>
    <t>Overseas</t>
  </si>
  <si>
    <t>Total</t>
  </si>
  <si>
    <t>2.Per Share Date（Yen)</t>
    <phoneticPr fontId="2"/>
  </si>
  <si>
    <t>Earnings per share(EPS):Basic</t>
    <phoneticPr fontId="2"/>
  </si>
  <si>
    <t>Earnings per share(EPS):Diluted</t>
    <phoneticPr fontId="2"/>
  </si>
  <si>
    <t>Dividends per share</t>
    <phoneticPr fontId="2"/>
  </si>
  <si>
    <t>Dividend payout ratio(%)</t>
    <phoneticPr fontId="2"/>
  </si>
  <si>
    <t>-</t>
  </si>
  <si>
    <t>Book per share</t>
    <phoneticPr fontId="2"/>
  </si>
  <si>
    <t>3-1. Consolidated Income Statement (million yen)</t>
    <phoneticPr fontId="2"/>
  </si>
  <si>
    <t>Cost of Sales</t>
    <phoneticPr fontId="2"/>
  </si>
  <si>
    <t>Gross profit</t>
  </si>
  <si>
    <t>Selling, General and Administrative Expenses</t>
  </si>
  <si>
    <t>Finance income</t>
    <phoneticPr fontId="2"/>
  </si>
  <si>
    <t>Finance costs</t>
    <phoneticPr fontId="2"/>
  </si>
  <si>
    <t>Other (Income) Expenses:</t>
  </si>
  <si>
    <t>Share of profit (loss) of investments accounted for using the
equity method</t>
    <phoneticPr fontId="2"/>
  </si>
  <si>
    <t>Profit before income tax expenses</t>
  </si>
  <si>
    <t>Income tax expenses</t>
  </si>
  <si>
    <t>Profit attributable to Non-controlling interests</t>
    <phoneticPr fontId="2"/>
  </si>
  <si>
    <t>Profit attributable to Owners of the parent</t>
    <phoneticPr fontId="2"/>
  </si>
  <si>
    <t>3-2. Consolidated Balance Sheet (million yen)</t>
    <phoneticPr fontId="2"/>
  </si>
  <si>
    <t>ASSETS</t>
  </si>
  <si>
    <t>Cash and cash equivalents</t>
  </si>
  <si>
    <t>Time deposits</t>
  </si>
  <si>
    <t>Trade and other receivables</t>
    <phoneticPr fontId="2"/>
  </si>
  <si>
    <t>Other financial assets</t>
    <phoneticPr fontId="2"/>
  </si>
  <si>
    <t>Inventories</t>
  </si>
  <si>
    <t>Other current assets</t>
  </si>
  <si>
    <t>Assets classified as held for sale</t>
    <phoneticPr fontId="3"/>
  </si>
  <si>
    <t>Total current assets</t>
  </si>
  <si>
    <t>Property, plant and equipment</t>
    <phoneticPr fontId="2"/>
  </si>
  <si>
    <t>Right-of-use assets</t>
    <phoneticPr fontId="2"/>
  </si>
  <si>
    <t>Goodwill and intangible assets</t>
    <phoneticPr fontId="2"/>
  </si>
  <si>
    <t>Other non-current assets</t>
    <phoneticPr fontId="2"/>
  </si>
  <si>
    <t>Total non-current assets</t>
    <phoneticPr fontId="2"/>
  </si>
  <si>
    <t>Total Assets</t>
  </si>
  <si>
    <t>Liabilities and Shareholders' Investment</t>
  </si>
  <si>
    <t>Bonds and borrowings</t>
    <phoneticPr fontId="2"/>
  </si>
  <si>
    <t>Trade and other payables</t>
    <phoneticPr fontId="2"/>
  </si>
  <si>
    <t>Lease liabilities</t>
    <phoneticPr fontId="2"/>
  </si>
  <si>
    <t>Other current liabilities</t>
    <phoneticPr fontId="2"/>
  </si>
  <si>
    <t>Liabilities directly related to assets held for sale</t>
    <phoneticPr fontId="2"/>
  </si>
  <si>
    <t>Total current liabilities</t>
  </si>
  <si>
    <t>Accrued pension and retirement benefits</t>
    <phoneticPr fontId="2"/>
  </si>
  <si>
    <t>Other non-current liabilities</t>
    <phoneticPr fontId="2"/>
  </si>
  <si>
    <t>Total non-current liabilities</t>
    <phoneticPr fontId="2"/>
  </si>
  <si>
    <t>Common stock</t>
  </si>
  <si>
    <t>Additional paid-in capital</t>
  </si>
  <si>
    <t>Treasury stock</t>
    <phoneticPr fontId="2"/>
  </si>
  <si>
    <t>Other components of equity</t>
    <phoneticPr fontId="2"/>
  </si>
  <si>
    <t>Retained earnings</t>
  </si>
  <si>
    <t>Total equity attributable to owners of the parent</t>
    <phoneticPr fontId="2"/>
  </si>
  <si>
    <t>﻿Noncontrolling interests</t>
  </si>
  <si>
    <t>Total equity</t>
    <phoneticPr fontId="2"/>
  </si>
  <si>
    <t>Total liabilities and equity</t>
    <phoneticPr fontId="2"/>
  </si>
  <si>
    <t>3-3. Consolidated Statement of Cash Flows (million yen)</t>
    <phoneticPr fontId="2"/>
  </si>
  <si>
    <t>Cash flows from operating activities</t>
    <phoneticPr fontId="2"/>
  </si>
  <si>
    <t>Cash flows from investing activities</t>
    <phoneticPr fontId="2"/>
  </si>
  <si>
    <t>Cash flows from financing activities</t>
    <phoneticPr fontId="2"/>
  </si>
  <si>
    <t>Cash and Cash Equivalents at end of period</t>
    <phoneticPr fontId="2"/>
  </si>
  <si>
    <t>4.Sales by Product Category and Area (million yen)</t>
    <phoneticPr fontId="2"/>
  </si>
  <si>
    <t>Sales by Product Category</t>
    <phoneticPr fontId="2"/>
  </si>
  <si>
    <t>Digital Services</t>
    <phoneticPr fontId="5"/>
  </si>
  <si>
    <t>Digital Products</t>
    <phoneticPr fontId="5"/>
  </si>
  <si>
    <t>Graphic Communications</t>
    <phoneticPr fontId="2"/>
  </si>
  <si>
    <t>Industrial Solutions</t>
    <phoneticPr fontId="2"/>
  </si>
  <si>
    <t>Other</t>
    <phoneticPr fontId="5"/>
  </si>
  <si>
    <t xml:space="preserve">*Ricoh adopted a business unit structure from April 1, 2021. Based on this new business unit structure, Ricoh changed Operating Segment Information from  fiscal 2021. </t>
    <phoneticPr fontId="2"/>
  </si>
  <si>
    <t>Sales by Previous Product Category</t>
    <phoneticPr fontId="2"/>
  </si>
  <si>
    <t>Office Printing</t>
    <phoneticPr fontId="5"/>
  </si>
  <si>
    <t>Office Service</t>
    <phoneticPr fontId="5"/>
  </si>
  <si>
    <t>Commercial Printing</t>
    <phoneticPr fontId="2"/>
  </si>
  <si>
    <t>Industrial Printing</t>
    <phoneticPr fontId="2"/>
  </si>
  <si>
    <t>Thermal Printing</t>
    <phoneticPr fontId="2"/>
  </si>
  <si>
    <t>Sales by Area</t>
    <phoneticPr fontId="2"/>
  </si>
  <si>
    <t>Japan</t>
    <phoneticPr fontId="5"/>
  </si>
  <si>
    <t>Overseas</t>
    <phoneticPr fontId="5"/>
  </si>
  <si>
    <t>The Americas</t>
    <phoneticPr fontId="5"/>
  </si>
  <si>
    <t>Europe</t>
    <phoneticPr fontId="5"/>
  </si>
  <si>
    <t>FY2017</t>
  </si>
  <si>
    <t>FY2018</t>
  </si>
  <si>
    <t xml:space="preserve">※Business category and other changes In fiscal 2020, Ricoh shifted some Office Services businesses to the Office Printing and Other categories.
</t>
    <phoneticPr fontId="2"/>
  </si>
  <si>
    <t xml:space="preserve">　 We also allocated some headquarters expenses to the relevant departments. We have accordingly retroactively revised numbers for the previous corresponding period. </t>
    <phoneticPr fontId="2"/>
  </si>
  <si>
    <t>*The compilation method has been changed from this fiscal year such as part of the lease transactions are showsn in net basis instead of gross basis.</t>
    <phoneticPr fontId="2"/>
  </si>
  <si>
    <t xml:space="preserve">  Year ended March 31, 2014 comparative figures have also been adjusted to conform to the current year presentation.</t>
    <phoneticPr fontId="2"/>
  </si>
  <si>
    <t>FY2013</t>
  </si>
  <si>
    <t>　</t>
  </si>
  <si>
    <t>*1</t>
  </si>
  <si>
    <t>FY2014</t>
  </si>
  <si>
    <t>*1</t>
    <phoneticPr fontId="2"/>
  </si>
  <si>
    <t>FY2015</t>
  </si>
  <si>
    <t>FY2016</t>
  </si>
  <si>
    <t>2018/3</t>
    <phoneticPr fontId="2"/>
  </si>
  <si>
    <t>Q1 *1</t>
  </si>
  <si>
    <t>2016/3</t>
  </si>
  <si>
    <t>-</t>
    <phoneticPr fontId="2"/>
  </si>
  <si>
    <t>Profit before income tax expenses</t>
    <phoneticPr fontId="2"/>
  </si>
  <si>
    <t>Income tax expenses</t>
    <phoneticPr fontId="2"/>
  </si>
  <si>
    <t>Share of profit (loss) of investments accounted for using the equity
method</t>
    <phoneticPr fontId="2"/>
  </si>
  <si>
    <t>Net cash provided by operating activities</t>
  </si>
  <si>
    <t>Net cash used in investing activities</t>
  </si>
  <si>
    <t>Net cash provided by (used in) financing activities</t>
  </si>
  <si>
    <t>Imaging &amp; Solutions</t>
    <phoneticPr fontId="5"/>
  </si>
  <si>
    <t xml:space="preserve">Office Imaging </t>
    <phoneticPr fontId="5"/>
  </si>
  <si>
    <t>Production Printing</t>
    <phoneticPr fontId="2"/>
  </si>
  <si>
    <t>Network System Solutions</t>
    <phoneticPr fontId="5"/>
  </si>
  <si>
    <t>Industrial Products</t>
    <phoneticPr fontId="5"/>
  </si>
  <si>
    <t>FY2011</t>
  </si>
  <si>
    <t>FY2012</t>
  </si>
  <si>
    <t>Q2 *1</t>
  </si>
  <si>
    <t>Q3 *1</t>
  </si>
  <si>
    <t>*4</t>
  </si>
  <si>
    <t>Net Sales</t>
  </si>
  <si>
    <t>Operating income</t>
  </si>
  <si>
    <t xml:space="preserve">Operating Income Ratio </t>
  </si>
  <si>
    <t>Net income attributable to Ricoh Company,Ltd.</t>
  </si>
  <si>
    <t xml:space="preserve">Net Income Ratio </t>
  </si>
  <si>
    <t>2012/3</t>
    <phoneticPr fontId="2"/>
  </si>
  <si>
    <t>2014/3</t>
    <phoneticPr fontId="2"/>
  </si>
  <si>
    <t>2012/3</t>
  </si>
  <si>
    <t>2013/3</t>
    <phoneticPr fontId="2"/>
  </si>
  <si>
    <t>2014/3</t>
  </si>
  <si>
    <t>Cost of Sales</t>
  </si>
  <si>
    <t>Interest and dividend income</t>
  </si>
  <si>
    <t>Interest expenses</t>
  </si>
  <si>
    <t>Other, net</t>
  </si>
  <si>
    <t xml:space="preserve">Income before income taxes, </t>
  </si>
  <si>
    <t>Provision for Income Taxes:</t>
  </si>
  <si>
    <t>Equity in Earnings of Affiliates</t>
  </si>
  <si>
    <t>Net income attributable to noncontrolling interests</t>
  </si>
  <si>
    <t>Marketable securities</t>
  </si>
  <si>
    <t>Trade receivables</t>
  </si>
  <si>
    <t>Tangible fixed assets</t>
  </si>
  <si>
    <t>Financial receivables</t>
  </si>
  <si>
    <t>Other Investments</t>
  </si>
  <si>
    <t>Total fixed assets</t>
  </si>
  <si>
    <t>Short-term borrowings</t>
  </si>
  <si>
    <t>Trade payables</t>
  </si>
  <si>
    <t>Other current liabilities</t>
  </si>
  <si>
    <t>Long-term indebtedness</t>
  </si>
  <si>
    <t>Retirement benefit obligation</t>
  </si>
  <si>
    <t>Other fixed liabilities</t>
  </si>
  <si>
    <t>Total fixed liabilities</t>
  </si>
  <si>
    <t>Accumulated other comprehensive income (loss)</t>
  </si>
  <si>
    <t>Treasury stock</t>
  </si>
  <si>
    <t>Total shareholders’ investment</t>
  </si>
  <si>
    <t>Total Equity</t>
  </si>
  <si>
    <t>Total Liabilities and Equity</t>
  </si>
  <si>
    <t>Q1 *1,*2</t>
  </si>
  <si>
    <t>Q2 *1,*2</t>
  </si>
  <si>
    <t>Q3 *1,*2</t>
  </si>
  <si>
    <t>Q4*2</t>
  </si>
  <si>
    <t>*2</t>
  </si>
  <si>
    <t>*2</t>
    <phoneticPr fontId="2"/>
  </si>
  <si>
    <t>Q1 *1,*3</t>
  </si>
  <si>
    <t>Q2 *1,*3</t>
  </si>
  <si>
    <t>Q3 *1.*3</t>
  </si>
  <si>
    <t>Q4 *3</t>
  </si>
  <si>
    <t>Q1 *3</t>
  </si>
  <si>
    <t>Q2 *3</t>
  </si>
  <si>
    <t>Q3 *3</t>
  </si>
  <si>
    <t xml:space="preserve">Q1 </t>
  </si>
  <si>
    <t>*3</t>
  </si>
  <si>
    <t>*3</t>
    <phoneticPr fontId="2"/>
  </si>
  <si>
    <t>　Selling, General and Administrative Expenses</t>
    <phoneticPr fontId="2"/>
  </si>
  <si>
    <t>　Other income</t>
    <phoneticPr fontId="2"/>
  </si>
  <si>
    <t>　Impairment of goodwill</t>
    <phoneticPr fontId="2"/>
  </si>
  <si>
    <t>　　　Share of profit (loss) of investments accounted for using the equity method</t>
    <phoneticPr fontId="2"/>
  </si>
  <si>
    <t>　Income tax expenses</t>
    <phoneticPr fontId="2"/>
  </si>
  <si>
    <t>*Segment sales are mainly sales to digital services.</t>
    <phoneticPr fontId="2"/>
  </si>
  <si>
    <t>*The electronics business in Ricoh Industrial Solutions has been reclassified to Ricoh Digital Products from FY2022 Q3. 
FY2022 Q1,2  figures have been applied retroactively.</t>
    <phoneticPr fontId="2"/>
  </si>
  <si>
    <t>*The PFU bussiess in the Other segment has been reclassified to Ricoh Digital Products and Ricoh Digital Service from FY2023 Q1.  FY2022 figures have been applied retroactively.</t>
    <phoneticPr fontId="2"/>
  </si>
  <si>
    <t>FY2023</t>
    <phoneticPr fontId="2"/>
  </si>
  <si>
    <t>Q3</t>
    <phoneticPr fontId="2"/>
  </si>
  <si>
    <t>FY2023</t>
  </si>
  <si>
    <t>Q4</t>
    <phoneticPr fontId="2"/>
  </si>
  <si>
    <t>FY2024</t>
    <phoneticPr fontId="2"/>
  </si>
  <si>
    <t>FY2024</t>
  </si>
  <si>
    <t>FY2025</t>
    <phoneticPr fontId="2"/>
  </si>
  <si>
    <t>FY2026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</si>
</sst>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.0;[Red]\-#,##0.0"/>
    <numFmt numFmtId="178" formatCode="yy/m"/>
    <numFmt numFmtId="179" formatCode="#,##0.0_);\(#,##0.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3"/>
      <charset val="128"/>
    </font>
    <font>
      <b/>
      <sz val="10"/>
      <name val="明朝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sz val="11"/>
      <color theme="5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4" fillId="0" borderId="0"/>
  </cellStyleXfs>
  <cellXfs count="342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quotePrefix="1" applyFont="1" applyBorder="1" applyAlignment="1">
      <alignment vertical="center"/>
    </xf>
    <xf numFmtId="0" fontId="7" fillId="0" borderId="4" xfId="0" quotePrefix="1" applyFont="1" applyBorder="1" applyAlignment="1">
      <alignment vertical="center"/>
    </xf>
    <xf numFmtId="0" fontId="7" fillId="0" borderId="9" xfId="0" quotePrefix="1" applyFont="1" applyBorder="1" applyAlignment="1">
      <alignment vertical="center"/>
    </xf>
    <xf numFmtId="0" fontId="7" fillId="0" borderId="0" xfId="0" quotePrefix="1" applyFont="1" applyAlignment="1">
      <alignment horizontal="center" vertical="center"/>
    </xf>
    <xf numFmtId="17" fontId="7" fillId="0" borderId="10" xfId="0" applyNumberFormat="1" applyFont="1" applyBorder="1" applyAlignment="1">
      <alignment horizontal="center" vertical="center"/>
    </xf>
    <xf numFmtId="17" fontId="7" fillId="0" borderId="6" xfId="0" applyNumberFormat="1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17" fontId="7" fillId="0" borderId="4" xfId="0" applyNumberFormat="1" applyFont="1" applyBorder="1" applyAlignment="1">
      <alignment horizontal="center" vertical="center"/>
    </xf>
    <xf numFmtId="0" fontId="6" fillId="0" borderId="4" xfId="3" applyFont="1" applyBorder="1" applyAlignment="1">
      <alignment vertical="center"/>
    </xf>
    <xf numFmtId="0" fontId="7" fillId="0" borderId="4" xfId="3" applyFont="1" applyBorder="1" applyAlignment="1">
      <alignment vertical="center"/>
    </xf>
    <xf numFmtId="0" fontId="7" fillId="0" borderId="5" xfId="3" applyFont="1" applyBorder="1" applyAlignment="1">
      <alignment vertical="center"/>
    </xf>
    <xf numFmtId="0" fontId="7" fillId="0" borderId="0" xfId="3" applyFont="1" applyAlignment="1">
      <alignment vertical="center"/>
    </xf>
    <xf numFmtId="0" fontId="7" fillId="0" borderId="12" xfId="3" applyFont="1" applyBorder="1" applyAlignment="1">
      <alignment vertical="center"/>
    </xf>
    <xf numFmtId="178" fontId="7" fillId="0" borderId="2" xfId="3" applyNumberFormat="1" applyFont="1" applyBorder="1" applyAlignment="1">
      <alignment horizontal="center" vertical="center" wrapText="1"/>
    </xf>
    <xf numFmtId="178" fontId="7" fillId="0" borderId="3" xfId="3" applyNumberFormat="1" applyFont="1" applyBorder="1" applyAlignment="1">
      <alignment horizontal="center" vertical="center" wrapText="1"/>
    </xf>
    <xf numFmtId="178" fontId="7" fillId="0" borderId="7" xfId="3" applyNumberFormat="1" applyFont="1" applyBorder="1" applyAlignment="1">
      <alignment horizontal="center" vertical="center" wrapText="1"/>
    </xf>
    <xf numFmtId="37" fontId="7" fillId="0" borderId="5" xfId="2" applyNumberFormat="1" applyFont="1" applyFill="1" applyBorder="1" applyAlignment="1">
      <alignment vertical="center"/>
    </xf>
    <xf numFmtId="37" fontId="7" fillId="0" borderId="0" xfId="2" applyNumberFormat="1" applyFont="1" applyFill="1" applyBorder="1" applyAlignment="1">
      <alignment vertical="center"/>
    </xf>
    <xf numFmtId="37" fontId="7" fillId="0" borderId="12" xfId="2" applyNumberFormat="1" applyFont="1" applyFill="1" applyBorder="1" applyAlignment="1">
      <alignment vertical="center"/>
    </xf>
    <xf numFmtId="37" fontId="7" fillId="0" borderId="0" xfId="0" applyNumberFormat="1" applyFont="1" applyAlignment="1">
      <alignment vertical="center"/>
    </xf>
    <xf numFmtId="37" fontId="7" fillId="0" borderId="0" xfId="2" applyNumberFormat="1" applyFont="1" applyFill="1" applyAlignment="1">
      <alignment vertical="center"/>
    </xf>
    <xf numFmtId="0" fontId="7" fillId="0" borderId="6" xfId="0" applyFont="1" applyBorder="1" applyAlignment="1">
      <alignment vertical="center"/>
    </xf>
    <xf numFmtId="37" fontId="7" fillId="0" borderId="10" xfId="2" applyNumberFormat="1" applyFont="1" applyFill="1" applyBorder="1" applyAlignment="1">
      <alignment vertical="center"/>
    </xf>
    <xf numFmtId="37" fontId="7" fillId="0" borderId="6" xfId="2" applyNumberFormat="1" applyFont="1" applyFill="1" applyBorder="1" applyAlignment="1">
      <alignment vertical="center"/>
    </xf>
    <xf numFmtId="37" fontId="7" fillId="0" borderId="11" xfId="2" applyNumberFormat="1" applyFont="1" applyFill="1" applyBorder="1" applyAlignment="1">
      <alignment vertical="center"/>
    </xf>
    <xf numFmtId="176" fontId="7" fillId="0" borderId="5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6" fontId="7" fillId="0" borderId="12" xfId="1" applyNumberFormat="1" applyFont="1" applyFill="1" applyBorder="1" applyAlignment="1">
      <alignment vertical="center"/>
    </xf>
    <xf numFmtId="37" fontId="7" fillId="0" borderId="2" xfId="2" applyNumberFormat="1" applyFont="1" applyFill="1" applyBorder="1" applyAlignment="1">
      <alignment vertical="center"/>
    </xf>
    <xf numFmtId="37" fontId="7" fillId="0" borderId="3" xfId="2" applyNumberFormat="1" applyFont="1" applyFill="1" applyBorder="1" applyAlignment="1">
      <alignment vertical="center"/>
    </xf>
    <xf numFmtId="37" fontId="7" fillId="0" borderId="7" xfId="2" applyNumberFormat="1" applyFont="1" applyFill="1" applyBorder="1" applyAlignment="1">
      <alignment vertical="center"/>
    </xf>
    <xf numFmtId="0" fontId="7" fillId="0" borderId="13" xfId="3" applyFont="1" applyBorder="1" applyAlignment="1">
      <alignment vertical="center"/>
    </xf>
    <xf numFmtId="176" fontId="7" fillId="0" borderId="14" xfId="1" applyNumberFormat="1" applyFont="1" applyFill="1" applyBorder="1" applyAlignment="1">
      <alignment vertical="center"/>
    </xf>
    <xf numFmtId="176" fontId="7" fillId="0" borderId="13" xfId="1" applyNumberFormat="1" applyFont="1" applyFill="1" applyBorder="1" applyAlignment="1">
      <alignment vertical="center"/>
    </xf>
    <xf numFmtId="176" fontId="7" fillId="0" borderId="15" xfId="1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7" fontId="7" fillId="0" borderId="16" xfId="0" applyNumberFormat="1" applyFont="1" applyBorder="1" applyAlignment="1">
      <alignment vertical="center"/>
    </xf>
    <xf numFmtId="37" fontId="7" fillId="0" borderId="1" xfId="0" applyNumberFormat="1" applyFont="1" applyBorder="1" applyAlignment="1">
      <alignment vertical="center"/>
    </xf>
    <xf numFmtId="37" fontId="7" fillId="0" borderId="17" xfId="0" applyNumberFormat="1" applyFont="1" applyBorder="1" applyAlignment="1">
      <alignment vertical="center"/>
    </xf>
    <xf numFmtId="177" fontId="7" fillId="0" borderId="0" xfId="2" applyNumberFormat="1" applyFont="1" applyFill="1" applyBorder="1" applyAlignment="1">
      <alignment vertical="center"/>
    </xf>
    <xf numFmtId="176" fontId="7" fillId="4" borderId="18" xfId="1" applyNumberFormat="1" applyFont="1" applyFill="1" applyBorder="1" applyAlignment="1">
      <alignment vertical="center"/>
    </xf>
    <xf numFmtId="176" fontId="7" fillId="4" borderId="0" xfId="1" applyNumberFormat="1" applyFont="1" applyFill="1" applyBorder="1" applyAlignment="1">
      <alignment vertical="center"/>
    </xf>
    <xf numFmtId="176" fontId="7" fillId="4" borderId="12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horizontal="right" vertical="center"/>
    </xf>
    <xf numFmtId="40" fontId="7" fillId="0" borderId="0" xfId="2" applyNumberFormat="1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37" fontId="7" fillId="0" borderId="4" xfId="3" applyNumberFormat="1" applyFont="1" applyBorder="1" applyAlignment="1">
      <alignment vertical="center"/>
    </xf>
    <xf numFmtId="37" fontId="7" fillId="0" borderId="0" xfId="3" applyNumberFormat="1" applyFont="1" applyAlignment="1">
      <alignment vertical="center"/>
    </xf>
    <xf numFmtId="38" fontId="7" fillId="0" borderId="0" xfId="2" applyFont="1" applyFill="1" applyBorder="1" applyAlignment="1">
      <alignment vertical="center"/>
    </xf>
    <xf numFmtId="37" fontId="7" fillId="0" borderId="2" xfId="0" applyNumberFormat="1" applyFont="1" applyBorder="1" applyAlignment="1">
      <alignment vertical="center"/>
    </xf>
    <xf numFmtId="37" fontId="7" fillId="0" borderId="3" xfId="0" applyNumberFormat="1" applyFont="1" applyBorder="1" applyAlignment="1">
      <alignment vertical="center"/>
    </xf>
    <xf numFmtId="37" fontId="7" fillId="0" borderId="7" xfId="0" applyNumberFormat="1" applyFont="1" applyBorder="1" applyAlignment="1">
      <alignment vertical="center"/>
    </xf>
    <xf numFmtId="37" fontId="7" fillId="0" borderId="5" xfId="0" applyNumberFormat="1" applyFont="1" applyBorder="1" applyAlignment="1">
      <alignment vertical="center"/>
    </xf>
    <xf numFmtId="37" fontId="7" fillId="0" borderId="12" xfId="0" applyNumberFormat="1" applyFont="1" applyBorder="1" applyAlignment="1">
      <alignment vertical="center"/>
    </xf>
    <xf numFmtId="0" fontId="6" fillId="0" borderId="0" xfId="3" applyFont="1" applyAlignment="1">
      <alignment vertical="center"/>
    </xf>
    <xf numFmtId="38" fontId="7" fillId="0" borderId="3" xfId="2" applyFont="1" applyFill="1" applyBorder="1" applyAlignment="1">
      <alignment vertical="center"/>
    </xf>
    <xf numFmtId="179" fontId="7" fillId="0" borderId="2" xfId="2" applyNumberFormat="1" applyFont="1" applyFill="1" applyBorder="1" applyAlignment="1">
      <alignment vertical="center"/>
    </xf>
    <xf numFmtId="179" fontId="7" fillId="0" borderId="3" xfId="2" applyNumberFormat="1" applyFont="1" applyFill="1" applyBorder="1" applyAlignment="1">
      <alignment vertical="center"/>
    </xf>
    <xf numFmtId="179" fontId="7" fillId="0" borderId="7" xfId="2" applyNumberFormat="1" applyFont="1" applyFill="1" applyBorder="1" applyAlignment="1">
      <alignment vertical="center"/>
    </xf>
    <xf numFmtId="179" fontId="7" fillId="0" borderId="0" xfId="2" applyNumberFormat="1" applyFont="1" applyFill="1" applyBorder="1" applyAlignment="1">
      <alignment vertical="center"/>
    </xf>
    <xf numFmtId="179" fontId="7" fillId="0" borderId="5" xfId="2" applyNumberFormat="1" applyFont="1" applyFill="1" applyBorder="1" applyAlignment="1">
      <alignment vertical="center"/>
    </xf>
    <xf numFmtId="179" fontId="7" fillId="0" borderId="12" xfId="2" applyNumberFormat="1" applyFont="1" applyFill="1" applyBorder="1" applyAlignment="1">
      <alignment vertical="center"/>
    </xf>
    <xf numFmtId="38" fontId="7" fillId="0" borderId="4" xfId="2" applyFont="1" applyFill="1" applyBorder="1" applyAlignment="1">
      <alignment vertical="center"/>
    </xf>
    <xf numFmtId="179" fontId="7" fillId="0" borderId="8" xfId="2" applyNumberFormat="1" applyFont="1" applyFill="1" applyBorder="1" applyAlignment="1">
      <alignment vertical="center"/>
    </xf>
    <xf numFmtId="179" fontId="7" fillId="0" borderId="4" xfId="2" applyNumberFormat="1" applyFont="1" applyFill="1" applyBorder="1" applyAlignment="1">
      <alignment vertical="center"/>
    </xf>
    <xf numFmtId="179" fontId="7" fillId="0" borderId="9" xfId="2" applyNumberFormat="1" applyFont="1" applyFill="1" applyBorder="1" applyAlignment="1">
      <alignment vertical="center"/>
    </xf>
    <xf numFmtId="0" fontId="6" fillId="2" borderId="0" xfId="3" applyFont="1" applyFill="1" applyAlignment="1">
      <alignment vertical="center"/>
    </xf>
    <xf numFmtId="0" fontId="7" fillId="2" borderId="0" xfId="3" applyFont="1" applyFill="1" applyAlignment="1">
      <alignment vertical="center"/>
    </xf>
    <xf numFmtId="0" fontId="7" fillId="0" borderId="0" xfId="3" applyFont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3" borderId="5" xfId="3" applyFont="1" applyFill="1" applyBorder="1" applyAlignment="1">
      <alignment vertical="center"/>
    </xf>
    <xf numFmtId="0" fontId="7" fillId="3" borderId="0" xfId="3" applyFont="1" applyFill="1" applyAlignment="1">
      <alignment vertical="center"/>
    </xf>
    <xf numFmtId="0" fontId="7" fillId="3" borderId="12" xfId="3" applyFont="1" applyFill="1" applyBorder="1" applyAlignment="1">
      <alignment vertical="center"/>
    </xf>
    <xf numFmtId="39" fontId="7" fillId="0" borderId="0" xfId="2" applyNumberFormat="1" applyFont="1" applyFill="1" applyAlignment="1">
      <alignment vertical="center"/>
    </xf>
    <xf numFmtId="40" fontId="7" fillId="0" borderId="0" xfId="2" applyNumberFormat="1" applyFont="1" applyFill="1" applyAlignment="1">
      <alignment horizontal="right" vertical="center"/>
    </xf>
    <xf numFmtId="9" fontId="7" fillId="0" borderId="0" xfId="1" applyFont="1" applyFill="1" applyBorder="1" applyAlignment="1">
      <alignment horizontal="right" vertical="center"/>
    </xf>
    <xf numFmtId="39" fontId="7" fillId="0" borderId="0" xfId="2" applyNumberFormat="1" applyFont="1" applyFill="1" applyBorder="1" applyAlignment="1">
      <alignment vertical="center"/>
    </xf>
    <xf numFmtId="37" fontId="7" fillId="0" borderId="4" xfId="2" applyNumberFormat="1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37" fontId="7" fillId="0" borderId="14" xfId="2" applyNumberFormat="1" applyFont="1" applyFill="1" applyBorder="1" applyAlignment="1">
      <alignment vertical="center"/>
    </xf>
    <xf numFmtId="37" fontId="7" fillId="0" borderId="13" xfId="2" applyNumberFormat="1" applyFont="1" applyFill="1" applyBorder="1" applyAlignment="1">
      <alignment vertical="center"/>
    </xf>
    <xf numFmtId="37" fontId="7" fillId="0" borderId="15" xfId="2" applyNumberFormat="1" applyFont="1" applyFill="1" applyBorder="1" applyAlignment="1">
      <alignment vertical="center"/>
    </xf>
    <xf numFmtId="37" fontId="7" fillId="0" borderId="0" xfId="0" applyNumberFormat="1" applyFont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37" fontId="7" fillId="0" borderId="8" xfId="0" applyNumberFormat="1" applyFont="1" applyBorder="1" applyAlignment="1">
      <alignment vertical="center"/>
    </xf>
    <xf numFmtId="37" fontId="7" fillId="0" borderId="4" xfId="0" applyNumberFormat="1" applyFont="1" applyBorder="1" applyAlignment="1">
      <alignment vertical="center"/>
    </xf>
    <xf numFmtId="37" fontId="7" fillId="0" borderId="9" xfId="0" applyNumberFormat="1" applyFont="1" applyBorder="1" applyAlignment="1">
      <alignment vertical="center"/>
    </xf>
    <xf numFmtId="37" fontId="7" fillId="0" borderId="8" xfId="2" applyNumberFormat="1" applyFont="1" applyFill="1" applyBorder="1" applyAlignment="1">
      <alignment vertical="center"/>
    </xf>
    <xf numFmtId="37" fontId="7" fillId="0" borderId="9" xfId="2" applyNumberFormat="1" applyFont="1" applyFill="1" applyBorder="1" applyAlignment="1">
      <alignment vertical="center"/>
    </xf>
    <xf numFmtId="37" fontId="7" fillId="0" borderId="10" xfId="0" applyNumberFormat="1" applyFont="1" applyBorder="1" applyAlignment="1">
      <alignment vertical="center"/>
    </xf>
    <xf numFmtId="37" fontId="7" fillId="0" borderId="6" xfId="0" applyNumberFormat="1" applyFont="1" applyBorder="1" applyAlignment="1">
      <alignment vertical="center"/>
    </xf>
    <xf numFmtId="37" fontId="7" fillId="0" borderId="11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7" fontId="7" fillId="0" borderId="10" xfId="0" applyNumberFormat="1" applyFont="1" applyBorder="1" applyAlignment="1">
      <alignment horizontal="right" vertical="center"/>
    </xf>
    <xf numFmtId="37" fontId="7" fillId="0" borderId="6" xfId="0" applyNumberFormat="1" applyFont="1" applyBorder="1" applyAlignment="1">
      <alignment horizontal="right" vertical="center"/>
    </xf>
    <xf numFmtId="37" fontId="7" fillId="0" borderId="11" xfId="0" applyNumberFormat="1" applyFont="1" applyBorder="1" applyAlignment="1">
      <alignment horizontal="right" vertical="center"/>
    </xf>
    <xf numFmtId="0" fontId="7" fillId="0" borderId="2" xfId="3" applyFont="1" applyBorder="1" applyAlignment="1">
      <alignment vertical="center"/>
    </xf>
    <xf numFmtId="0" fontId="7" fillId="0" borderId="3" xfId="3" applyFont="1" applyBorder="1" applyAlignment="1">
      <alignment vertical="center"/>
    </xf>
    <xf numFmtId="0" fontId="7" fillId="0" borderId="7" xfId="3" applyFont="1" applyBorder="1" applyAlignment="1">
      <alignment vertical="center"/>
    </xf>
    <xf numFmtId="38" fontId="7" fillId="0" borderId="0" xfId="2" applyFont="1" applyFill="1" applyBorder="1" applyAlignment="1">
      <alignment horizontal="left" vertical="center"/>
    </xf>
    <xf numFmtId="38" fontId="7" fillId="0" borderId="0" xfId="2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7" fillId="0" borderId="9" xfId="0" quotePrefix="1" applyFont="1" applyBorder="1" applyAlignment="1">
      <alignment horizontal="right" vertical="center"/>
    </xf>
    <xf numFmtId="0" fontId="7" fillId="0" borderId="4" xfId="0" quotePrefix="1" applyFont="1" applyBorder="1" applyAlignment="1">
      <alignment horizontal="right" vertical="center"/>
    </xf>
    <xf numFmtId="176" fontId="7" fillId="4" borderId="19" xfId="1" applyNumberFormat="1" applyFont="1" applyFill="1" applyBorder="1" applyAlignment="1">
      <alignment vertical="center"/>
    </xf>
    <xf numFmtId="176" fontId="7" fillId="4" borderId="5" xfId="1" applyNumberFormat="1" applyFont="1" applyFill="1" applyBorder="1" applyAlignment="1">
      <alignment vertical="center"/>
    </xf>
    <xf numFmtId="38" fontId="7" fillId="4" borderId="5" xfId="2" applyFont="1" applyFill="1" applyBorder="1" applyAlignment="1">
      <alignment vertical="center"/>
    </xf>
    <xf numFmtId="38" fontId="7" fillId="4" borderId="0" xfId="2" applyFont="1" applyFill="1" applyBorder="1" applyAlignment="1">
      <alignment vertical="center"/>
    </xf>
    <xf numFmtId="37" fontId="7" fillId="4" borderId="10" xfId="2" applyNumberFormat="1" applyFont="1" applyFill="1" applyBorder="1" applyAlignment="1">
      <alignment vertical="center"/>
    </xf>
    <xf numFmtId="37" fontId="7" fillId="4" borderId="6" xfId="2" applyNumberFormat="1" applyFont="1" applyFill="1" applyBorder="1" applyAlignment="1">
      <alignment vertical="center"/>
    </xf>
    <xf numFmtId="37" fontId="7" fillId="4" borderId="14" xfId="2" applyNumberFormat="1" applyFont="1" applyFill="1" applyBorder="1" applyAlignment="1">
      <alignment vertical="center"/>
    </xf>
    <xf numFmtId="37" fontId="7" fillId="4" borderId="13" xfId="2" applyNumberFormat="1" applyFont="1" applyFill="1" applyBorder="1" applyAlignment="1">
      <alignment vertical="center"/>
    </xf>
    <xf numFmtId="37" fontId="7" fillId="4" borderId="5" xfId="0" applyNumberFormat="1" applyFont="1" applyFill="1" applyBorder="1" applyAlignment="1">
      <alignment vertical="center"/>
    </xf>
    <xf numFmtId="37" fontId="7" fillId="4" borderId="0" xfId="0" applyNumberFormat="1" applyFont="1" applyFill="1" applyAlignment="1">
      <alignment vertical="center"/>
    </xf>
    <xf numFmtId="37" fontId="7" fillId="4" borderId="8" xfId="0" applyNumberFormat="1" applyFont="1" applyFill="1" applyBorder="1" applyAlignment="1">
      <alignment vertical="center"/>
    </xf>
    <xf numFmtId="37" fontId="7" fillId="4" borderId="4" xfId="0" applyNumberFormat="1" applyFont="1" applyFill="1" applyBorder="1" applyAlignment="1">
      <alignment vertical="center"/>
    </xf>
    <xf numFmtId="37" fontId="7" fillId="4" borderId="8" xfId="2" applyNumberFormat="1" applyFont="1" applyFill="1" applyBorder="1" applyAlignment="1">
      <alignment vertical="center"/>
    </xf>
    <xf numFmtId="37" fontId="7" fillId="4" borderId="4" xfId="2" applyNumberFormat="1" applyFont="1" applyFill="1" applyBorder="1" applyAlignment="1">
      <alignment vertical="center"/>
    </xf>
    <xf numFmtId="37" fontId="7" fillId="4" borderId="10" xfId="0" applyNumberFormat="1" applyFont="1" applyFill="1" applyBorder="1" applyAlignment="1">
      <alignment vertical="center"/>
    </xf>
    <xf numFmtId="37" fontId="7" fillId="4" borderId="6" xfId="0" applyNumberFormat="1" applyFont="1" applyFill="1" applyBorder="1" applyAlignment="1">
      <alignment vertical="center"/>
    </xf>
    <xf numFmtId="37" fontId="7" fillId="4" borderId="5" xfId="2" applyNumberFormat="1" applyFont="1" applyFill="1" applyBorder="1" applyAlignment="1">
      <alignment vertical="center"/>
    </xf>
    <xf numFmtId="37" fontId="7" fillId="4" borderId="0" xfId="2" applyNumberFormat="1" applyFont="1" applyFill="1" applyBorder="1" applyAlignment="1">
      <alignment vertical="center"/>
    </xf>
    <xf numFmtId="177" fontId="7" fillId="0" borderId="3" xfId="2" applyNumberFormat="1" applyFont="1" applyFill="1" applyBorder="1" applyAlignment="1">
      <alignment vertical="center"/>
    </xf>
    <xf numFmtId="177" fontId="7" fillId="0" borderId="2" xfId="2" applyNumberFormat="1" applyFont="1" applyFill="1" applyBorder="1" applyAlignment="1">
      <alignment vertical="center"/>
    </xf>
    <xf numFmtId="177" fontId="7" fillId="0" borderId="5" xfId="2" applyNumberFormat="1" applyFont="1" applyFill="1" applyBorder="1" applyAlignment="1">
      <alignment vertical="center"/>
    </xf>
    <xf numFmtId="177" fontId="7" fillId="0" borderId="4" xfId="2" applyNumberFormat="1" applyFont="1" applyFill="1" applyBorder="1" applyAlignment="1">
      <alignment vertical="center"/>
    </xf>
    <xf numFmtId="177" fontId="7" fillId="0" borderId="8" xfId="2" applyNumberFormat="1" applyFont="1" applyFill="1" applyBorder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7" fillId="0" borderId="0" xfId="0" applyFont="1"/>
    <xf numFmtId="0" fontId="6" fillId="0" borderId="0" xfId="0" applyFont="1"/>
    <xf numFmtId="0" fontId="7" fillId="0" borderId="3" xfId="0" applyFont="1" applyBorder="1"/>
    <xf numFmtId="0" fontId="7" fillId="0" borderId="2" xfId="0" applyFont="1" applyBorder="1"/>
    <xf numFmtId="0" fontId="7" fillId="0" borderId="4" xfId="0" quotePrefix="1" applyFont="1" applyBorder="1"/>
    <xf numFmtId="0" fontId="7" fillId="0" borderId="4" xfId="0" applyFont="1" applyBorder="1"/>
    <xf numFmtId="0" fontId="7" fillId="0" borderId="8" xfId="0" quotePrefix="1" applyFont="1" applyBorder="1"/>
    <xf numFmtId="0" fontId="7" fillId="0" borderId="0" xfId="0" quotePrefix="1" applyFont="1" applyAlignment="1">
      <alignment horizontal="center"/>
    </xf>
    <xf numFmtId="17" fontId="7" fillId="0" borderId="0" xfId="0" quotePrefix="1" applyNumberFormat="1" applyFont="1" applyAlignment="1">
      <alignment horizontal="center"/>
    </xf>
    <xf numFmtId="17" fontId="7" fillId="0" borderId="6" xfId="0" applyNumberFormat="1" applyFont="1" applyBorder="1" applyAlignment="1">
      <alignment horizontal="center"/>
    </xf>
    <xf numFmtId="17" fontId="7" fillId="0" borderId="10" xfId="0" applyNumberFormat="1" applyFont="1" applyBorder="1" applyAlignment="1">
      <alignment horizontal="center"/>
    </xf>
    <xf numFmtId="17" fontId="7" fillId="0" borderId="4" xfId="0" applyNumberFormat="1" applyFont="1" applyBorder="1" applyAlignment="1">
      <alignment horizontal="center"/>
    </xf>
    <xf numFmtId="37" fontId="7" fillId="0" borderId="0" xfId="2" applyNumberFormat="1" applyFont="1" applyFill="1"/>
    <xf numFmtId="38" fontId="7" fillId="0" borderId="0" xfId="2" applyFont="1" applyFill="1"/>
    <xf numFmtId="37" fontId="7" fillId="0" borderId="5" xfId="2" applyNumberFormat="1" applyFont="1" applyFill="1" applyBorder="1"/>
    <xf numFmtId="38" fontId="7" fillId="0" borderId="0" xfId="2" applyFont="1" applyFill="1" applyBorder="1"/>
    <xf numFmtId="38" fontId="7" fillId="0" borderId="5" xfId="2" applyFont="1" applyFill="1" applyBorder="1"/>
    <xf numFmtId="0" fontId="7" fillId="0" borderId="6" xfId="0" applyFont="1" applyBorder="1"/>
    <xf numFmtId="37" fontId="7" fillId="0" borderId="6" xfId="2" applyNumberFormat="1" applyFont="1" applyFill="1" applyBorder="1"/>
    <xf numFmtId="37" fontId="7" fillId="0" borderId="10" xfId="2" applyNumberFormat="1" applyFont="1" applyFill="1" applyBorder="1"/>
    <xf numFmtId="37" fontId="7" fillId="0" borderId="3" xfId="2" applyNumberFormat="1" applyFont="1" applyFill="1" applyBorder="1"/>
    <xf numFmtId="37" fontId="7" fillId="0" borderId="2" xfId="2" applyNumberFormat="1" applyFont="1" applyFill="1" applyBorder="1"/>
    <xf numFmtId="0" fontId="7" fillId="0" borderId="1" xfId="0" applyFont="1" applyBorder="1"/>
    <xf numFmtId="0" fontId="6" fillId="0" borderId="1" xfId="0" applyFont="1" applyBorder="1"/>
    <xf numFmtId="37" fontId="7" fillId="0" borderId="16" xfId="0" applyNumberFormat="1" applyFont="1" applyBorder="1"/>
    <xf numFmtId="37" fontId="7" fillId="0" borderId="1" xfId="0" applyNumberFormat="1" applyFont="1" applyBorder="1"/>
    <xf numFmtId="176" fontId="7" fillId="0" borderId="18" xfId="1" applyNumberFormat="1" applyFont="1" applyFill="1" applyBorder="1" applyAlignment="1">
      <alignment vertical="center"/>
    </xf>
    <xf numFmtId="176" fontId="7" fillId="0" borderId="19" xfId="1" applyNumberFormat="1" applyFont="1" applyFill="1" applyBorder="1" applyAlignment="1">
      <alignment vertical="center"/>
    </xf>
    <xf numFmtId="37" fontId="7" fillId="0" borderId="0" xfId="0" applyNumberFormat="1" applyFont="1"/>
    <xf numFmtId="37" fontId="7" fillId="0" borderId="5" xfId="0" applyNumberFormat="1" applyFont="1" applyBorder="1"/>
    <xf numFmtId="38" fontId="7" fillId="0" borderId="2" xfId="2" applyFont="1" applyFill="1" applyBorder="1" applyAlignment="1">
      <alignment vertical="center"/>
    </xf>
    <xf numFmtId="38" fontId="7" fillId="0" borderId="0" xfId="0" applyNumberFormat="1" applyFont="1"/>
    <xf numFmtId="38" fontId="7" fillId="0" borderId="2" xfId="0" applyNumberFormat="1" applyFont="1" applyBorder="1"/>
    <xf numFmtId="38" fontId="7" fillId="0" borderId="3" xfId="0" applyNumberFormat="1" applyFont="1" applyBorder="1"/>
    <xf numFmtId="38" fontId="7" fillId="0" borderId="5" xfId="2" applyFont="1" applyFill="1" applyBorder="1" applyAlignment="1">
      <alignment vertical="center"/>
    </xf>
    <xf numFmtId="38" fontId="7" fillId="0" borderId="5" xfId="0" applyNumberFormat="1" applyFont="1" applyBorder="1"/>
    <xf numFmtId="40" fontId="7" fillId="0" borderId="0" xfId="2" applyNumberFormat="1" applyFont="1" applyFill="1" applyAlignment="1">
      <alignment vertical="center"/>
    </xf>
    <xf numFmtId="9" fontId="7" fillId="0" borderId="0" xfId="1" applyFont="1" applyFill="1" applyBorder="1" applyAlignment="1">
      <alignment horizontal="center" vertical="center"/>
    </xf>
    <xf numFmtId="37" fontId="7" fillId="0" borderId="0" xfId="2" applyNumberFormat="1" applyFont="1" applyFill="1" applyBorder="1"/>
    <xf numFmtId="37" fontId="7" fillId="0" borderId="4" xfId="2" applyNumberFormat="1" applyFont="1" applyFill="1" applyBorder="1"/>
    <xf numFmtId="37" fontId="7" fillId="0" borderId="8" xfId="2" applyNumberFormat="1" applyFont="1" applyFill="1" applyBorder="1"/>
    <xf numFmtId="0" fontId="7" fillId="0" borderId="13" xfId="0" applyFont="1" applyBorder="1"/>
    <xf numFmtId="37" fontId="7" fillId="0" borderId="13" xfId="2" applyNumberFormat="1" applyFont="1" applyFill="1" applyBorder="1"/>
    <xf numFmtId="37" fontId="7" fillId="0" borderId="14" xfId="2" applyNumberFormat="1" applyFont="1" applyFill="1" applyBorder="1"/>
    <xf numFmtId="37" fontId="7" fillId="0" borderId="0" xfId="0" applyNumberFormat="1" applyFont="1" applyAlignment="1">
      <alignment horizontal="right"/>
    </xf>
    <xf numFmtId="17" fontId="7" fillId="0" borderId="8" xfId="0" applyNumberFormat="1" applyFont="1" applyBorder="1"/>
    <xf numFmtId="0" fontId="7" fillId="0" borderId="4" xfId="0" applyFont="1" applyBorder="1" applyAlignment="1">
      <alignment horizontal="right"/>
    </xf>
    <xf numFmtId="37" fontId="7" fillId="0" borderId="4" xfId="0" applyNumberFormat="1" applyFont="1" applyBorder="1"/>
    <xf numFmtId="37" fontId="7" fillId="0" borderId="8" xfId="0" applyNumberFormat="1" applyFont="1" applyBorder="1"/>
    <xf numFmtId="37" fontId="7" fillId="0" borderId="6" xfId="0" applyNumberFormat="1" applyFont="1" applyBorder="1"/>
    <xf numFmtId="37" fontId="7" fillId="0" borderId="10" xfId="0" applyNumberFormat="1" applyFont="1" applyBorder="1"/>
    <xf numFmtId="0" fontId="7" fillId="0" borderId="8" xfId="0" applyFont="1" applyBorder="1"/>
    <xf numFmtId="37" fontId="7" fillId="0" borderId="10" xfId="0" applyNumberFormat="1" applyFont="1" applyBorder="1" applyAlignment="1">
      <alignment horizontal="right"/>
    </xf>
    <xf numFmtId="37" fontId="7" fillId="0" borderId="6" xfId="0" applyNumberFormat="1" applyFont="1" applyBorder="1" applyAlignment="1">
      <alignment horizontal="right"/>
    </xf>
    <xf numFmtId="0" fontId="6" fillId="0" borderId="2" xfId="3" applyFont="1" applyBorder="1" applyAlignment="1">
      <alignment vertical="center"/>
    </xf>
    <xf numFmtId="38" fontId="7" fillId="0" borderId="2" xfId="2" applyFont="1" applyFill="1" applyBorder="1" applyAlignment="1">
      <alignment horizontal="right" vertical="center"/>
    </xf>
    <xf numFmtId="38" fontId="7" fillId="0" borderId="3" xfId="2" applyFont="1" applyFill="1" applyBorder="1" applyAlignment="1">
      <alignment horizontal="right" vertical="center"/>
    </xf>
    <xf numFmtId="38" fontId="7" fillId="0" borderId="5" xfId="2" applyFont="1" applyFill="1" applyBorder="1" applyAlignment="1">
      <alignment horizontal="right" vertical="center"/>
    </xf>
    <xf numFmtId="178" fontId="7" fillId="0" borderId="10" xfId="3" applyNumberFormat="1" applyFont="1" applyBorder="1" applyAlignment="1">
      <alignment horizontal="left" vertical="center"/>
    </xf>
    <xf numFmtId="178" fontId="7" fillId="0" borderId="6" xfId="3" applyNumberFormat="1" applyFont="1" applyBorder="1" applyAlignment="1">
      <alignment horizontal="left" vertical="center"/>
    </xf>
    <xf numFmtId="0" fontId="7" fillId="3" borderId="8" xfId="3" applyFont="1" applyFill="1" applyBorder="1" applyAlignment="1">
      <alignment vertical="center"/>
    </xf>
    <xf numFmtId="0" fontId="7" fillId="3" borderId="4" xfId="3" applyFont="1" applyFill="1" applyBorder="1" applyAlignment="1">
      <alignment vertical="center"/>
    </xf>
    <xf numFmtId="0" fontId="7" fillId="3" borderId="9" xfId="3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40" fontId="7" fillId="0" borderId="5" xfId="2" applyNumberFormat="1" applyFont="1" applyFill="1" applyBorder="1" applyAlignment="1">
      <alignment vertical="center"/>
    </xf>
    <xf numFmtId="37" fontId="7" fillId="0" borderId="5" xfId="3" applyNumberFormat="1" applyFont="1" applyBorder="1" applyAlignment="1">
      <alignment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17" fontId="7" fillId="0" borderId="8" xfId="0" applyNumberFormat="1" applyFont="1" applyBorder="1" applyAlignment="1">
      <alignment horizontal="center" vertical="center"/>
    </xf>
    <xf numFmtId="17" fontId="7" fillId="0" borderId="9" xfId="0" applyNumberFormat="1" applyFont="1" applyBorder="1" applyAlignment="1">
      <alignment horizontal="center" vertical="center"/>
    </xf>
    <xf numFmtId="176" fontId="7" fillId="0" borderId="5" xfId="1" applyNumberFormat="1" applyFont="1" applyFill="1" applyBorder="1" applyAlignment="1">
      <alignment horizontal="right" vertical="center"/>
    </xf>
    <xf numFmtId="176" fontId="7" fillId="0" borderId="12" xfId="1" applyNumberFormat="1" applyFont="1" applyFill="1" applyBorder="1" applyAlignment="1">
      <alignment horizontal="right" vertical="center"/>
    </xf>
    <xf numFmtId="39" fontId="7" fillId="0" borderId="5" xfId="2" applyNumberFormat="1" applyFont="1" applyFill="1" applyBorder="1" applyAlignment="1">
      <alignment vertical="center"/>
    </xf>
    <xf numFmtId="40" fontId="7" fillId="0" borderId="5" xfId="2" applyNumberFormat="1" applyFont="1" applyFill="1" applyBorder="1" applyAlignment="1">
      <alignment horizontal="right" vertical="center"/>
    </xf>
    <xf numFmtId="40" fontId="7" fillId="0" borderId="12" xfId="2" applyNumberFormat="1" applyFont="1" applyFill="1" applyBorder="1" applyAlignment="1">
      <alignment horizontal="right" vertical="center"/>
    </xf>
    <xf numFmtId="9" fontId="7" fillId="0" borderId="5" xfId="1" applyFont="1" applyFill="1" applyBorder="1" applyAlignment="1">
      <alignment horizontal="right" vertical="center"/>
    </xf>
    <xf numFmtId="9" fontId="7" fillId="0" borderId="12" xfId="1" applyFont="1" applyFill="1" applyBorder="1" applyAlignment="1">
      <alignment horizontal="right" vertical="center"/>
    </xf>
    <xf numFmtId="39" fontId="7" fillId="0" borderId="8" xfId="2" applyNumberFormat="1" applyFont="1" applyFill="1" applyBorder="1" applyAlignment="1">
      <alignment vertical="center"/>
    </xf>
    <xf numFmtId="40" fontId="7" fillId="0" borderId="0" xfId="2" applyNumberFormat="1" applyFont="1" applyFill="1" applyBorder="1" applyAlignment="1">
      <alignment horizontal="right" vertical="center"/>
    </xf>
    <xf numFmtId="39" fontId="7" fillId="0" borderId="4" xfId="2" applyNumberFormat="1" applyFont="1" applyFill="1" applyBorder="1" applyAlignment="1">
      <alignment vertical="center"/>
    </xf>
    <xf numFmtId="39" fontId="7" fillId="0" borderId="12" xfId="2" applyNumberFormat="1" applyFont="1" applyFill="1" applyBorder="1" applyAlignment="1">
      <alignment vertical="center"/>
    </xf>
    <xf numFmtId="39" fontId="7" fillId="0" borderId="9" xfId="2" applyNumberFormat="1" applyFont="1" applyFill="1" applyBorder="1" applyAlignment="1">
      <alignment vertical="center"/>
    </xf>
    <xf numFmtId="0" fontId="7" fillId="5" borderId="2" xfId="3" applyFont="1" applyFill="1" applyBorder="1" applyAlignment="1">
      <alignment vertical="center"/>
    </xf>
    <xf numFmtId="0" fontId="7" fillId="5" borderId="3" xfId="3" applyFont="1" applyFill="1" applyBorder="1" applyAlignment="1">
      <alignment vertical="center"/>
    </xf>
    <xf numFmtId="0" fontId="7" fillId="5" borderId="7" xfId="3" applyFont="1" applyFill="1" applyBorder="1" applyAlignment="1">
      <alignment vertical="center"/>
    </xf>
    <xf numFmtId="37" fontId="7" fillId="5" borderId="2" xfId="2" applyNumberFormat="1" applyFont="1" applyFill="1" applyBorder="1" applyAlignment="1">
      <alignment vertical="center"/>
    </xf>
    <xf numFmtId="37" fontId="7" fillId="5" borderId="3" xfId="2" applyNumberFormat="1" applyFont="1" applyFill="1" applyBorder="1" applyAlignment="1">
      <alignment vertical="center"/>
    </xf>
    <xf numFmtId="37" fontId="7" fillId="5" borderId="7" xfId="2" applyNumberFormat="1" applyFont="1" applyFill="1" applyBorder="1" applyAlignment="1">
      <alignment vertical="center"/>
    </xf>
    <xf numFmtId="37" fontId="7" fillId="5" borderId="5" xfId="2" applyNumberFormat="1" applyFont="1" applyFill="1" applyBorder="1" applyAlignment="1">
      <alignment vertical="center"/>
    </xf>
    <xf numFmtId="37" fontId="7" fillId="5" borderId="0" xfId="2" applyNumberFormat="1" applyFont="1" applyFill="1" applyBorder="1" applyAlignment="1">
      <alignment vertical="center"/>
    </xf>
    <xf numFmtId="37" fontId="7" fillId="5" borderId="12" xfId="2" applyNumberFormat="1" applyFont="1" applyFill="1" applyBorder="1" applyAlignment="1">
      <alignment vertical="center"/>
    </xf>
    <xf numFmtId="37" fontId="7" fillId="5" borderId="8" xfId="2" applyNumberFormat="1" applyFont="1" applyFill="1" applyBorder="1" applyAlignment="1">
      <alignment vertical="center"/>
    </xf>
    <xf numFmtId="37" fontId="7" fillId="5" borderId="4" xfId="2" applyNumberFormat="1" applyFont="1" applyFill="1" applyBorder="1" applyAlignment="1">
      <alignment vertical="center"/>
    </xf>
    <xf numFmtId="37" fontId="7" fillId="5" borderId="9" xfId="2" applyNumberFormat="1" applyFont="1" applyFill="1" applyBorder="1" applyAlignment="1">
      <alignment vertical="center"/>
    </xf>
    <xf numFmtId="0" fontId="7" fillId="5" borderId="5" xfId="3" applyFont="1" applyFill="1" applyBorder="1" applyAlignment="1">
      <alignment vertical="center"/>
    </xf>
    <xf numFmtId="0" fontId="7" fillId="5" borderId="0" xfId="3" applyFont="1" applyFill="1" applyAlignment="1">
      <alignment vertical="center"/>
    </xf>
    <xf numFmtId="0" fontId="7" fillId="5" borderId="12" xfId="3" applyFont="1" applyFill="1" applyBorder="1" applyAlignment="1">
      <alignment vertical="center"/>
    </xf>
    <xf numFmtId="0" fontId="7" fillId="5" borderId="8" xfId="3" applyFont="1" applyFill="1" applyBorder="1" applyAlignment="1">
      <alignment vertical="center"/>
    </xf>
    <xf numFmtId="0" fontId="7" fillId="5" borderId="4" xfId="3" applyFont="1" applyFill="1" applyBorder="1" applyAlignment="1">
      <alignment vertical="center"/>
    </xf>
    <xf numFmtId="0" fontId="7" fillId="5" borderId="9" xfId="3" applyFont="1" applyFill="1" applyBorder="1" applyAlignment="1">
      <alignment vertical="center"/>
    </xf>
    <xf numFmtId="176" fontId="7" fillId="5" borderId="18" xfId="1" applyNumberFormat="1" applyFont="1" applyFill="1" applyBorder="1" applyAlignment="1">
      <alignment vertical="center"/>
    </xf>
    <xf numFmtId="176" fontId="7" fillId="5" borderId="0" xfId="1" applyNumberFormat="1" applyFont="1" applyFill="1" applyBorder="1" applyAlignment="1">
      <alignment vertical="center"/>
    </xf>
    <xf numFmtId="4" fontId="7" fillId="0" borderId="12" xfId="2" applyNumberFormat="1" applyFont="1" applyFill="1" applyBorder="1" applyAlignment="1">
      <alignment horizontal="right" vertical="center"/>
    </xf>
    <xf numFmtId="0" fontId="7" fillId="0" borderId="0" xfId="2" applyNumberFormat="1" applyFont="1" applyFill="1" applyBorder="1" applyAlignment="1">
      <alignment vertical="center"/>
    </xf>
    <xf numFmtId="4" fontId="7" fillId="0" borderId="0" xfId="2" applyNumberFormat="1" applyFont="1" applyFill="1" applyBorder="1" applyAlignment="1">
      <alignment horizontal="right" vertical="center"/>
    </xf>
    <xf numFmtId="0" fontId="7" fillId="6" borderId="7" xfId="3" applyFont="1" applyFill="1" applyBorder="1" applyAlignment="1">
      <alignment vertical="center"/>
    </xf>
    <xf numFmtId="37" fontId="7" fillId="6" borderId="7" xfId="2" applyNumberFormat="1" applyFont="1" applyFill="1" applyBorder="1" applyAlignment="1">
      <alignment vertical="center"/>
    </xf>
    <xf numFmtId="37" fontId="7" fillId="6" borderId="12" xfId="2" applyNumberFormat="1" applyFont="1" applyFill="1" applyBorder="1" applyAlignment="1">
      <alignment vertical="center"/>
    </xf>
    <xf numFmtId="37" fontId="7" fillId="6" borderId="9" xfId="2" applyNumberFormat="1" applyFont="1" applyFill="1" applyBorder="1" applyAlignment="1">
      <alignment vertical="center"/>
    </xf>
    <xf numFmtId="0" fontId="7" fillId="6" borderId="3" xfId="3" applyFont="1" applyFill="1" applyBorder="1" applyAlignment="1">
      <alignment vertical="center"/>
    </xf>
    <xf numFmtId="37" fontId="7" fillId="6" borderId="3" xfId="2" applyNumberFormat="1" applyFont="1" applyFill="1" applyBorder="1" applyAlignment="1">
      <alignment vertical="center"/>
    </xf>
    <xf numFmtId="37" fontId="7" fillId="6" borderId="0" xfId="2" applyNumberFormat="1" applyFont="1" applyFill="1" applyBorder="1" applyAlignment="1">
      <alignment vertical="center"/>
    </xf>
    <xf numFmtId="37" fontId="7" fillId="6" borderId="4" xfId="2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9" xfId="3" applyFont="1" applyBorder="1" applyAlignment="1">
      <alignment vertical="center"/>
    </xf>
    <xf numFmtId="0" fontId="7" fillId="0" borderId="8" xfId="3" applyFont="1" applyBorder="1" applyAlignment="1">
      <alignment vertical="center"/>
    </xf>
    <xf numFmtId="38" fontId="7" fillId="0" borderId="20" xfId="2" applyFont="1" applyFill="1" applyBorder="1" applyAlignment="1">
      <alignment vertical="center"/>
    </xf>
    <xf numFmtId="176" fontId="7" fillId="5" borderId="19" xfId="1" applyNumberFormat="1" applyFont="1" applyFill="1" applyBorder="1" applyAlignment="1">
      <alignment vertical="center"/>
    </xf>
    <xf numFmtId="179" fontId="7" fillId="0" borderId="0" xfId="0" applyNumberFormat="1" applyFont="1" applyAlignment="1">
      <alignment vertical="center"/>
    </xf>
    <xf numFmtId="0" fontId="7" fillId="0" borderId="4" xfId="0" quotePrefix="1" applyFont="1" applyBorder="1" applyAlignment="1">
      <alignment horizontal="left" vertical="center"/>
    </xf>
    <xf numFmtId="38" fontId="7" fillId="0" borderId="0" xfId="2" applyFont="1" applyFill="1" applyAlignment="1">
      <alignment vertical="center"/>
    </xf>
    <xf numFmtId="0" fontId="7" fillId="0" borderId="2" xfId="0" quotePrefix="1" applyFont="1" applyBorder="1"/>
    <xf numFmtId="0" fontId="7" fillId="0" borderId="7" xfId="0" quotePrefix="1" applyFont="1" applyBorder="1"/>
    <xf numFmtId="0" fontId="7" fillId="0" borderId="9" xfId="0" quotePrefix="1" applyFont="1" applyBorder="1"/>
    <xf numFmtId="0" fontId="7" fillId="0" borderId="3" xfId="0" quotePrefix="1" applyFont="1" applyBorder="1"/>
    <xf numFmtId="37" fontId="10" fillId="0" borderId="0" xfId="2" applyNumberFormat="1" applyFont="1" applyFill="1" applyBorder="1" applyAlignment="1">
      <alignment vertical="center"/>
    </xf>
    <xf numFmtId="38" fontId="10" fillId="0" borderId="0" xfId="2" applyFont="1" applyFill="1" applyBorder="1" applyAlignment="1">
      <alignment vertical="center"/>
    </xf>
    <xf numFmtId="178" fontId="10" fillId="0" borderId="7" xfId="3" applyNumberFormat="1" applyFont="1" applyBorder="1" applyAlignment="1">
      <alignment horizontal="center" vertical="center" wrapText="1"/>
    </xf>
    <xf numFmtId="0" fontId="10" fillId="0" borderId="0" xfId="3" applyFont="1" applyAlignment="1">
      <alignment vertical="center"/>
    </xf>
    <xf numFmtId="37" fontId="10" fillId="0" borderId="7" xfId="0" applyNumberFormat="1" applyFont="1" applyBorder="1" applyAlignment="1">
      <alignment vertical="center"/>
    </xf>
    <xf numFmtId="17" fontId="10" fillId="0" borderId="11" xfId="0" applyNumberFormat="1" applyFont="1" applyBorder="1" applyAlignment="1">
      <alignment horizontal="center" vertical="center"/>
    </xf>
    <xf numFmtId="0" fontId="10" fillId="0" borderId="12" xfId="0" quotePrefix="1" applyFont="1" applyBorder="1" applyAlignment="1">
      <alignment horizontal="center" vertical="center"/>
    </xf>
    <xf numFmtId="37" fontId="10" fillId="0" borderId="9" xfId="2" applyNumberFormat="1" applyFont="1" applyFill="1" applyBorder="1" applyAlignment="1">
      <alignment vertical="center"/>
    </xf>
    <xf numFmtId="37" fontId="10" fillId="0" borderId="11" xfId="2" applyNumberFormat="1" applyFont="1" applyFill="1" applyBorder="1" applyAlignment="1">
      <alignment vertical="center"/>
    </xf>
    <xf numFmtId="176" fontId="10" fillId="0" borderId="12" xfId="1" applyNumberFormat="1" applyFont="1" applyFill="1" applyBorder="1" applyAlignment="1">
      <alignment vertical="center"/>
    </xf>
    <xf numFmtId="37" fontId="10" fillId="0" borderId="7" xfId="2" applyNumberFormat="1" applyFont="1" applyFill="1" applyBorder="1" applyAlignment="1">
      <alignment vertical="center"/>
    </xf>
    <xf numFmtId="176" fontId="10" fillId="0" borderId="15" xfId="1" applyNumberFormat="1" applyFont="1" applyFill="1" applyBorder="1" applyAlignment="1">
      <alignment vertical="center"/>
    </xf>
    <xf numFmtId="37" fontId="10" fillId="0" borderId="17" xfId="0" applyNumberFormat="1" applyFont="1" applyBorder="1" applyAlignment="1">
      <alignment vertical="center"/>
    </xf>
    <xf numFmtId="176" fontId="10" fillId="0" borderId="12" xfId="1" applyNumberFormat="1" applyFont="1" applyFill="1" applyBorder="1" applyAlignment="1">
      <alignment horizontal="right" vertical="center"/>
    </xf>
    <xf numFmtId="37" fontId="10" fillId="0" borderId="12" xfId="2" applyNumberFormat="1" applyFont="1" applyFill="1" applyBorder="1" applyAlignment="1">
      <alignment vertical="center"/>
    </xf>
    <xf numFmtId="179" fontId="10" fillId="0" borderId="7" xfId="2" applyNumberFormat="1" applyFont="1" applyFill="1" applyBorder="1" applyAlignment="1">
      <alignment vertical="center"/>
    </xf>
    <xf numFmtId="179" fontId="10" fillId="0" borderId="12" xfId="2" applyNumberFormat="1" applyFont="1" applyFill="1" applyBorder="1" applyAlignment="1">
      <alignment vertical="center"/>
    </xf>
    <xf numFmtId="179" fontId="10" fillId="0" borderId="9" xfId="2" applyNumberFormat="1" applyFont="1" applyFill="1" applyBorder="1" applyAlignment="1">
      <alignment vertical="center"/>
    </xf>
    <xf numFmtId="0" fontId="10" fillId="0" borderId="7" xfId="0" applyFont="1" applyBorder="1" applyAlignment="1">
      <alignment vertical="center"/>
    </xf>
    <xf numFmtId="17" fontId="10" fillId="0" borderId="9" xfId="0" applyNumberFormat="1" applyFont="1" applyBorder="1" applyAlignment="1">
      <alignment horizontal="center" vertical="center"/>
    </xf>
    <xf numFmtId="37" fontId="10" fillId="0" borderId="15" xfId="2" applyNumberFormat="1" applyFont="1" applyFill="1" applyBorder="1" applyAlignment="1">
      <alignment vertical="center"/>
    </xf>
    <xf numFmtId="37" fontId="10" fillId="0" borderId="11" xfId="0" applyNumberFormat="1" applyFont="1" applyBorder="1" applyAlignment="1">
      <alignment horizontal="right" vertical="center"/>
    </xf>
    <xf numFmtId="0" fontId="10" fillId="0" borderId="9" xfId="3" applyFont="1" applyBorder="1" applyAlignment="1">
      <alignment vertical="center"/>
    </xf>
    <xf numFmtId="0" fontId="7" fillId="0" borderId="9" xfId="0" quotePrefix="1" applyFont="1" applyBorder="1" applyAlignment="1">
      <alignment horizontal="left" vertical="center"/>
    </xf>
    <xf numFmtId="37" fontId="10" fillId="0" borderId="12" xfId="0" applyNumberFormat="1" applyFont="1" applyBorder="1" applyAlignment="1">
      <alignment vertical="center"/>
    </xf>
    <xf numFmtId="38" fontId="10" fillId="0" borderId="12" xfId="2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7" xfId="3" applyFont="1" applyBorder="1" applyAlignment="1">
      <alignment vertical="center"/>
    </xf>
    <xf numFmtId="176" fontId="10" fillId="6" borderId="12" xfId="1" applyNumberFormat="1" applyFont="1" applyFill="1" applyBorder="1" applyAlignment="1">
      <alignment vertical="center"/>
    </xf>
    <xf numFmtId="37" fontId="7" fillId="0" borderId="12" xfId="3" applyNumberFormat="1" applyFont="1" applyBorder="1" applyAlignment="1">
      <alignment vertical="center"/>
    </xf>
    <xf numFmtId="37" fontId="10" fillId="0" borderId="9" xfId="0" applyNumberFormat="1" applyFont="1" applyBorder="1" applyAlignment="1">
      <alignment vertical="center"/>
    </xf>
    <xf numFmtId="0" fontId="10" fillId="0" borderId="12" xfId="3" applyFont="1" applyBorder="1" applyAlignment="1">
      <alignment vertical="center"/>
    </xf>
    <xf numFmtId="0" fontId="7" fillId="0" borderId="8" xfId="0" quotePrefix="1" applyFont="1" applyBorder="1" applyAlignment="1">
      <alignment horizontal="left"/>
    </xf>
    <xf numFmtId="178" fontId="7" fillId="0" borderId="5" xfId="3" applyNumberFormat="1" applyFont="1" applyBorder="1" applyAlignment="1">
      <alignment horizontal="center" vertical="center" wrapText="1"/>
    </xf>
    <xf numFmtId="0" fontId="7" fillId="0" borderId="0" xfId="0" quotePrefix="1" applyFont="1" applyAlignment="1">
      <alignment horizontal="left"/>
    </xf>
    <xf numFmtId="0" fontId="7" fillId="0" borderId="12" xfId="0" quotePrefix="1" applyFont="1" applyBorder="1"/>
    <xf numFmtId="178" fontId="7" fillId="0" borderId="12" xfId="3" applyNumberFormat="1" applyFont="1" applyBorder="1" applyAlignment="1">
      <alignment horizontal="center" vertical="center" wrapText="1"/>
    </xf>
    <xf numFmtId="176" fontId="7" fillId="5" borderId="21" xfId="1" applyNumberFormat="1" applyFont="1" applyFill="1" applyBorder="1" applyAlignment="1">
      <alignment vertical="center"/>
    </xf>
    <xf numFmtId="0" fontId="7" fillId="0" borderId="4" xfId="0" quotePrefix="1" applyFont="1" applyBorder="1" applyAlignment="1">
      <alignment horizontal="left"/>
    </xf>
    <xf numFmtId="38" fontId="7" fillId="0" borderId="12" xfId="2" applyFont="1" applyFill="1" applyBorder="1" applyAlignment="1">
      <alignment vertical="center"/>
    </xf>
    <xf numFmtId="37" fontId="7" fillId="0" borderId="0" xfId="2" applyNumberFormat="1" applyFont="1" applyFill="1" applyBorder="1" applyAlignment="1">
      <alignment horizontal="right" vertical="center"/>
    </xf>
    <xf numFmtId="0" fontId="7" fillId="0" borderId="0" xfId="0" quotePrefix="1" applyFont="1"/>
    <xf numFmtId="178" fontId="7" fillId="0" borderId="0" xfId="3" applyNumberFormat="1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/>
    </xf>
    <xf numFmtId="176" fontId="10" fillId="0" borderId="0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right" vertical="center"/>
    </xf>
    <xf numFmtId="179" fontId="10" fillId="0" borderId="0" xfId="2" applyNumberFormat="1" applyFont="1" applyFill="1" applyBorder="1" applyAlignment="1">
      <alignment vertical="center"/>
    </xf>
    <xf numFmtId="178" fontId="10" fillId="0" borderId="3" xfId="3" applyNumberFormat="1" applyFont="1" applyBorder="1" applyAlignment="1">
      <alignment horizontal="center" vertical="center" wrapText="1"/>
    </xf>
    <xf numFmtId="37" fontId="10" fillId="0" borderId="4" xfId="2" applyNumberFormat="1" applyFont="1" applyFill="1" applyBorder="1" applyAlignment="1">
      <alignment vertical="center"/>
    </xf>
    <xf numFmtId="37" fontId="10" fillId="0" borderId="6" xfId="2" applyNumberFormat="1" applyFont="1" applyFill="1" applyBorder="1" applyAlignment="1">
      <alignment vertical="center"/>
    </xf>
    <xf numFmtId="37" fontId="10" fillId="0" borderId="3" xfId="2" applyNumberFormat="1" applyFont="1" applyFill="1" applyBorder="1" applyAlignment="1">
      <alignment vertical="center"/>
    </xf>
    <xf numFmtId="176" fontId="10" fillId="0" borderId="13" xfId="1" applyNumberFormat="1" applyFont="1" applyFill="1" applyBorder="1" applyAlignment="1">
      <alignment vertical="center"/>
    </xf>
    <xf numFmtId="37" fontId="10" fillId="0" borderId="1" xfId="0" applyNumberFormat="1" applyFont="1" applyBorder="1" applyAlignment="1">
      <alignment vertical="center"/>
    </xf>
    <xf numFmtId="179" fontId="10" fillId="0" borderId="3" xfId="2" applyNumberFormat="1" applyFont="1" applyFill="1" applyBorder="1" applyAlignment="1">
      <alignment vertical="center"/>
    </xf>
    <xf numFmtId="179" fontId="10" fillId="0" borderId="4" xfId="2" applyNumberFormat="1" applyFont="1" applyFill="1" applyBorder="1" applyAlignment="1">
      <alignment vertical="center"/>
    </xf>
    <xf numFmtId="37" fontId="10" fillId="0" borderId="13" xfId="2" applyNumberFormat="1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17" fontId="10" fillId="0" borderId="4" xfId="0" applyNumberFormat="1" applyFont="1" applyBorder="1" applyAlignment="1">
      <alignment horizontal="center" vertical="center"/>
    </xf>
    <xf numFmtId="37" fontId="10" fillId="0" borderId="6" xfId="0" applyNumberFormat="1" applyFont="1" applyBorder="1" applyAlignment="1">
      <alignment horizontal="right" vertical="center"/>
    </xf>
    <xf numFmtId="0" fontId="7" fillId="0" borderId="2" xfId="0" quotePrefix="1" applyFont="1" applyBorder="1" applyAlignment="1">
      <alignment horizontal="centerContinuous"/>
    </xf>
    <xf numFmtId="0" fontId="7" fillId="0" borderId="10" xfId="3" applyFont="1" applyBorder="1" applyAlignment="1">
      <alignment vertical="center"/>
    </xf>
    <xf numFmtId="0" fontId="7" fillId="6" borderId="2" xfId="3" applyFont="1" applyFill="1" applyBorder="1" applyAlignment="1">
      <alignment vertical="center"/>
    </xf>
    <xf numFmtId="37" fontId="7" fillId="6" borderId="2" xfId="2" applyNumberFormat="1" applyFont="1" applyFill="1" applyBorder="1" applyAlignment="1">
      <alignment vertical="center"/>
    </xf>
    <xf numFmtId="37" fontId="7" fillId="6" borderId="5" xfId="2" applyNumberFormat="1" applyFont="1" applyFill="1" applyBorder="1" applyAlignment="1">
      <alignment vertical="center"/>
    </xf>
    <xf numFmtId="37" fontId="7" fillId="6" borderId="8" xfId="2" applyNumberFormat="1" applyFont="1" applyFill="1" applyBorder="1" applyAlignment="1">
      <alignment vertical="center"/>
    </xf>
    <xf numFmtId="176" fontId="7" fillId="6" borderId="5" xfId="1" applyNumberFormat="1" applyFont="1" applyFill="1" applyBorder="1" applyAlignment="1">
      <alignment vertical="center"/>
    </xf>
    <xf numFmtId="0" fontId="7" fillId="0" borderId="7" xfId="0" quotePrefix="1" applyFont="1" applyBorder="1" applyAlignment="1">
      <alignment horizontal="centerContinuous"/>
    </xf>
    <xf numFmtId="0" fontId="7" fillId="0" borderId="9" xfId="0" quotePrefix="1" applyFont="1" applyBorder="1" applyAlignment="1">
      <alignment horizontal="left"/>
    </xf>
    <xf numFmtId="0" fontId="7" fillId="0" borderId="3" xfId="0" quotePrefix="1" applyFont="1" applyBorder="1" applyAlignment="1">
      <alignment horizontal="centerContinuous"/>
    </xf>
    <xf numFmtId="0" fontId="7" fillId="0" borderId="6" xfId="3" applyFont="1" applyBorder="1" applyAlignment="1">
      <alignment vertical="center"/>
    </xf>
    <xf numFmtId="176" fontId="7" fillId="6" borderId="12" xfId="1" applyNumberFormat="1" applyFont="1" applyFill="1" applyBorder="1" applyAlignment="1">
      <alignment vertical="center"/>
    </xf>
    <xf numFmtId="38" fontId="7" fillId="0" borderId="9" xfId="2" applyFont="1" applyFill="1" applyBorder="1" applyAlignment="1">
      <alignment vertical="center"/>
    </xf>
    <xf numFmtId="37" fontId="7" fillId="0" borderId="22" xfId="2" applyNumberFormat="1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</cellXfs>
  <cellStyles count="4">
    <cellStyle name="パーセント" xfId="1" builtinId="5"/>
    <cellStyle name="桁区切り" xfId="2" builtinId="6"/>
    <cellStyle name="標準" xfId="0" builtinId="0"/>
    <cellStyle name="標準_主要経営指標推移_J" xfId="3" xr:uid="{00000000-0005-0000-0000-000003000000}"/>
  </cellStyles>
  <dxfs count="0"/>
  <tableStyles count="0" defaultTableStyle="TableStyleMedium2" defaultPivotStyle="PivotStyleLight16"/>
  <colors>
    <mruColors>
      <color rgb="FFE7E6E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9F0-C5A9-429A-B461-4BCFC8FD83BA}">
  <sheetPr>
    <pageSetUpPr fitToPage="1"/>
  </sheetPr>
  <dimension ref="A1:AJ153"/>
  <sheetViews>
    <sheetView showGridLines="0" tabSelected="1" zoomScaleNormal="100" zoomScaleSheetLayoutView="85" workbookViewId="0">
      <pane xSplit="3" ySplit="6" topLeftCell="V90" activePane="bottomRight" state="frozen"/>
      <selection pane="topRight" activeCell="D1" sqref="D1"/>
      <selection pane="bottomLeft" activeCell="A7" sqref="A7"/>
      <selection pane="bottomRight" activeCell="Y109" sqref="Y109"/>
    </sheetView>
  </sheetViews>
  <sheetFormatPr defaultColWidth="8.88671875" defaultRowHeight="15.75" customHeight="1"/>
  <cols>
    <col min="1" max="2" width="3.6640625" style="3" customWidth="1"/>
    <col min="3" max="3" width="60.44140625" style="3" customWidth="1"/>
    <col min="4" max="7" width="12.109375" style="3" customWidth="1"/>
    <col min="8" max="8" width="13.6640625" style="3" customWidth="1"/>
    <col min="9" max="10" width="12.21875" style="3" customWidth="1"/>
    <col min="11" max="11" width="11.88671875" style="3" customWidth="1"/>
    <col min="12" max="12" width="13.6640625" style="3" customWidth="1"/>
    <col min="13" max="14" width="12.21875" style="3" customWidth="1"/>
    <col min="15" max="15" width="11.88671875" style="3" customWidth="1"/>
    <col min="16" max="16" width="13.6640625" style="3" bestFit="1" customWidth="1"/>
    <col min="17" max="19" width="12.21875" style="3" customWidth="1"/>
    <col min="20" max="29" width="12" style="3" customWidth="1"/>
    <col min="30" max="30" width="6" style="3" customWidth="1"/>
    <col min="31" max="36" width="12" style="3" customWidth="1"/>
    <col min="37" max="16384" width="8.88671875" style="3"/>
  </cols>
  <sheetData>
    <row r="1" spans="1:36" ht="15">
      <c r="A1" s="1" t="s">
        <v>0</v>
      </c>
      <c r="B1" s="2"/>
      <c r="C1" s="2"/>
    </row>
    <row r="2" spans="1:36" ht="6" customHeight="1">
      <c r="A2" s="4"/>
    </row>
    <row r="3" spans="1:36" ht="9" customHeight="1">
      <c r="A3" s="5"/>
      <c r="B3" s="5"/>
      <c r="C3" s="5"/>
      <c r="D3" s="6"/>
      <c r="E3" s="5"/>
      <c r="F3" s="5"/>
      <c r="G3" s="5"/>
      <c r="H3" s="6"/>
      <c r="I3" s="5"/>
      <c r="J3" s="5"/>
      <c r="K3" s="5"/>
      <c r="L3" s="6"/>
      <c r="M3" s="5"/>
      <c r="N3" s="5"/>
      <c r="O3" s="5"/>
      <c r="P3" s="6"/>
      <c r="Q3" s="5"/>
      <c r="R3" s="5"/>
      <c r="S3" s="5"/>
      <c r="T3" s="262"/>
      <c r="U3" s="265"/>
      <c r="V3" s="265"/>
      <c r="W3" s="263"/>
      <c r="X3" s="262"/>
      <c r="Y3" s="265"/>
      <c r="Z3" s="265"/>
      <c r="AA3" s="263"/>
      <c r="AB3" s="325"/>
      <c r="AC3" s="332"/>
      <c r="AE3" s="6"/>
      <c r="AF3" s="5"/>
      <c r="AG3" s="5"/>
      <c r="AH3" s="5"/>
      <c r="AI3" s="5"/>
      <c r="AJ3" s="7"/>
    </row>
    <row r="4" spans="1:36" ht="15">
      <c r="D4" s="8" t="s">
        <v>1</v>
      </c>
      <c r="E4" s="9" t="s">
        <v>2</v>
      </c>
      <c r="F4" s="9" t="s">
        <v>2</v>
      </c>
      <c r="G4" s="9" t="s">
        <v>2</v>
      </c>
      <c r="H4" s="8" t="s">
        <v>3</v>
      </c>
      <c r="I4" s="9" t="s">
        <v>2</v>
      </c>
      <c r="J4" s="9" t="s">
        <v>2</v>
      </c>
      <c r="K4" s="9" t="s">
        <v>2</v>
      </c>
      <c r="L4" s="8" t="s">
        <v>4</v>
      </c>
      <c r="M4" s="9" t="s">
        <v>2</v>
      </c>
      <c r="N4" s="9" t="s">
        <v>2</v>
      </c>
      <c r="O4" s="9" t="s">
        <v>2</v>
      </c>
      <c r="P4" s="8" t="s">
        <v>5</v>
      </c>
      <c r="Q4" s="9" t="s">
        <v>2</v>
      </c>
      <c r="R4" s="9" t="s">
        <v>2</v>
      </c>
      <c r="S4" s="9" t="s">
        <v>2</v>
      </c>
      <c r="T4" s="147" t="s">
        <v>201</v>
      </c>
      <c r="U4" s="145"/>
      <c r="V4" s="145"/>
      <c r="W4" s="264"/>
      <c r="X4" s="147" t="s">
        <v>205</v>
      </c>
      <c r="Y4" s="307"/>
      <c r="Z4" s="307"/>
      <c r="AA4" s="301"/>
      <c r="AB4" s="298" t="s">
        <v>207</v>
      </c>
      <c r="AC4" s="333"/>
      <c r="AE4" s="207" t="s">
        <v>1</v>
      </c>
      <c r="AF4" s="11" t="s">
        <v>6</v>
      </c>
      <c r="AG4" s="11" t="s">
        <v>7</v>
      </c>
      <c r="AH4" s="11" t="s">
        <v>8</v>
      </c>
      <c r="AI4" s="309" t="s">
        <v>203</v>
      </c>
      <c r="AJ4" s="272" t="s">
        <v>206</v>
      </c>
    </row>
    <row r="5" spans="1:36" ht="19.649999999999999" customHeight="1">
      <c r="D5" s="12" t="s">
        <v>9</v>
      </c>
      <c r="E5" s="13" t="s">
        <v>10</v>
      </c>
      <c r="F5" s="13" t="s">
        <v>11</v>
      </c>
      <c r="G5" s="13" t="s">
        <v>12</v>
      </c>
      <c r="H5" s="12" t="s">
        <v>9</v>
      </c>
      <c r="I5" s="13" t="s">
        <v>10</v>
      </c>
      <c r="J5" s="13" t="s">
        <v>11</v>
      </c>
      <c r="K5" s="13" t="s">
        <v>12</v>
      </c>
      <c r="L5" s="12" t="s">
        <v>9</v>
      </c>
      <c r="M5" s="13" t="s">
        <v>10</v>
      </c>
      <c r="N5" s="13" t="s">
        <v>11</v>
      </c>
      <c r="O5" s="13" t="s">
        <v>12</v>
      </c>
      <c r="P5" s="12" t="s">
        <v>9</v>
      </c>
      <c r="Q5" s="13" t="s">
        <v>10</v>
      </c>
      <c r="R5" s="13" t="s">
        <v>11</v>
      </c>
      <c r="S5" s="13" t="s">
        <v>12</v>
      </c>
      <c r="T5" s="12" t="s">
        <v>9</v>
      </c>
      <c r="U5" s="13" t="s">
        <v>10</v>
      </c>
      <c r="V5" s="13" t="s">
        <v>202</v>
      </c>
      <c r="W5" s="271" t="s">
        <v>12</v>
      </c>
      <c r="X5" s="12" t="s">
        <v>9</v>
      </c>
      <c r="Y5" s="13" t="s">
        <v>10</v>
      </c>
      <c r="Z5" s="13" t="s">
        <v>11</v>
      </c>
      <c r="AA5" s="14" t="s">
        <v>12</v>
      </c>
      <c r="AB5" s="12" t="s">
        <v>9</v>
      </c>
      <c r="AC5" s="14" t="s">
        <v>10</v>
      </c>
      <c r="AE5" s="209"/>
      <c r="AF5" s="15"/>
      <c r="AG5" s="15"/>
      <c r="AH5" s="15"/>
      <c r="AI5" s="15"/>
      <c r="AJ5" s="210"/>
    </row>
    <row r="6" spans="1:36" s="19" customFormat="1" ht="15" collapsed="1">
      <c r="A6" s="16" t="s">
        <v>13</v>
      </c>
      <c r="B6" s="17"/>
      <c r="C6" s="17"/>
      <c r="D6" s="18"/>
      <c r="H6" s="18"/>
      <c r="L6" s="18"/>
      <c r="P6" s="18"/>
      <c r="T6" s="18"/>
      <c r="W6" s="293"/>
      <c r="X6" s="18"/>
      <c r="AA6" s="20"/>
      <c r="AB6" s="107"/>
      <c r="AC6" s="109"/>
      <c r="AE6" s="18"/>
      <c r="AJ6" s="20"/>
    </row>
    <row r="7" spans="1:36" s="19" customFormat="1" ht="15">
      <c r="D7" s="21"/>
      <c r="E7" s="22"/>
      <c r="F7" s="22"/>
      <c r="G7" s="22"/>
      <c r="H7" s="21"/>
      <c r="I7" s="22"/>
      <c r="J7" s="22"/>
      <c r="K7" s="22"/>
      <c r="L7" s="21"/>
      <c r="M7" s="22"/>
      <c r="N7" s="22"/>
      <c r="O7" s="22"/>
      <c r="P7" s="21"/>
      <c r="Q7" s="22"/>
      <c r="R7" s="22"/>
      <c r="S7" s="22"/>
      <c r="T7" s="21"/>
      <c r="U7" s="22"/>
      <c r="V7" s="22"/>
      <c r="W7" s="268"/>
      <c r="X7" s="299"/>
      <c r="Y7" s="308"/>
      <c r="Z7" s="308"/>
      <c r="AA7" s="302"/>
      <c r="AB7" s="21"/>
      <c r="AC7" s="23"/>
      <c r="AE7" s="21"/>
      <c r="AF7" s="22"/>
      <c r="AG7" s="22"/>
      <c r="AH7" s="22"/>
      <c r="AI7" s="313"/>
      <c r="AJ7" s="268"/>
    </row>
    <row r="8" spans="1:36" ht="19.649999999999999" customHeight="1">
      <c r="A8" s="3" t="s">
        <v>14</v>
      </c>
      <c r="D8" s="24">
        <v>477605</v>
      </c>
      <c r="E8" s="25">
        <v>517174</v>
      </c>
      <c r="F8" s="25">
        <v>499103</v>
      </c>
      <c r="G8" s="25">
        <v>514698</v>
      </c>
      <c r="H8" s="24">
        <v>352325</v>
      </c>
      <c r="I8" s="25">
        <v>409623</v>
      </c>
      <c r="J8" s="25">
        <v>431123</v>
      </c>
      <c r="K8" s="25">
        <v>488998</v>
      </c>
      <c r="L8" s="24">
        <v>424804</v>
      </c>
      <c r="M8" s="25">
        <v>418659</v>
      </c>
      <c r="N8" s="25">
        <v>432732</v>
      </c>
      <c r="O8" s="25">
        <v>482392</v>
      </c>
      <c r="P8" s="24">
        <v>459341</v>
      </c>
      <c r="Q8" s="25">
        <v>514195</v>
      </c>
      <c r="R8" s="25">
        <v>555072</v>
      </c>
      <c r="S8" s="25">
        <v>605572</v>
      </c>
      <c r="T8" s="24">
        <v>534601</v>
      </c>
      <c r="U8" s="25">
        <v>577989</v>
      </c>
      <c r="V8" s="25">
        <v>585098</v>
      </c>
      <c r="W8" s="280">
        <v>651299</v>
      </c>
      <c r="X8" s="98">
        <v>574379</v>
      </c>
      <c r="Y8" s="88">
        <v>628209</v>
      </c>
      <c r="Z8" s="88">
        <v>632816</v>
      </c>
      <c r="AA8" s="99">
        <v>692472</v>
      </c>
      <c r="AB8" s="24">
        <v>580798</v>
      </c>
      <c r="AC8" s="26">
        <v>641653</v>
      </c>
      <c r="AD8" s="27"/>
      <c r="AE8" s="24">
        <f>SUM(D8:G8)</f>
        <v>2008580</v>
      </c>
      <c r="AF8" s="25">
        <f>SUM(H8:K8)</f>
        <v>1682069</v>
      </c>
      <c r="AG8" s="25">
        <v>1758587</v>
      </c>
      <c r="AH8" s="25">
        <v>2134180</v>
      </c>
      <c r="AI8" s="314">
        <v>2348987</v>
      </c>
      <c r="AJ8" s="273">
        <v>2527876</v>
      </c>
    </row>
    <row r="9" spans="1:36" ht="19.649999999999999" customHeight="1">
      <c r="A9" s="29" t="s">
        <v>15</v>
      </c>
      <c r="B9" s="29"/>
      <c r="C9" s="29"/>
      <c r="D9" s="30">
        <v>27566</v>
      </c>
      <c r="E9" s="31">
        <v>21082</v>
      </c>
      <c r="F9" s="31">
        <v>20767</v>
      </c>
      <c r="G9" s="31">
        <v>9625</v>
      </c>
      <c r="H9" s="30">
        <v>-21272</v>
      </c>
      <c r="I9" s="31">
        <v>-9346</v>
      </c>
      <c r="J9" s="31">
        <v>880</v>
      </c>
      <c r="K9" s="31">
        <v>-15691</v>
      </c>
      <c r="L9" s="30">
        <v>5666</v>
      </c>
      <c r="M9" s="31">
        <v>7434</v>
      </c>
      <c r="N9" s="31">
        <v>12609</v>
      </c>
      <c r="O9" s="31">
        <v>14343</v>
      </c>
      <c r="P9" s="30">
        <v>9626</v>
      </c>
      <c r="Q9" s="31">
        <v>13822</v>
      </c>
      <c r="R9" s="31">
        <v>16160</v>
      </c>
      <c r="S9" s="31">
        <v>39132</v>
      </c>
      <c r="T9" s="30">
        <v>10171</v>
      </c>
      <c r="U9" s="31">
        <v>9390</v>
      </c>
      <c r="V9" s="31">
        <v>17597</v>
      </c>
      <c r="W9" s="274">
        <v>24865</v>
      </c>
      <c r="X9" s="30">
        <v>6332</v>
      </c>
      <c r="Y9" s="31">
        <v>477</v>
      </c>
      <c r="Z9" s="31">
        <v>27747</v>
      </c>
      <c r="AA9" s="32">
        <v>29273</v>
      </c>
      <c r="AB9" s="30">
        <v>12642</v>
      </c>
      <c r="AC9" s="32">
        <v>22806</v>
      </c>
      <c r="AD9" s="27"/>
      <c r="AE9" s="30">
        <f>AE50</f>
        <v>79040</v>
      </c>
      <c r="AF9" s="31">
        <f>AF50</f>
        <v>-45429</v>
      </c>
      <c r="AG9" s="31">
        <v>40052</v>
      </c>
      <c r="AH9" s="31">
        <v>78740</v>
      </c>
      <c r="AI9" s="315">
        <v>62023</v>
      </c>
      <c r="AJ9" s="274">
        <v>63829</v>
      </c>
    </row>
    <row r="10" spans="1:36" s="19" customFormat="1" ht="16.5" customHeight="1">
      <c r="B10" s="19" t="s">
        <v>16</v>
      </c>
      <c r="D10" s="33">
        <f>D50/D44</f>
        <v>5.7717151202353406E-2</v>
      </c>
      <c r="E10" s="34">
        <f>E50/E44</f>
        <v>4.0763843503347039E-2</v>
      </c>
      <c r="F10" s="34">
        <v>4.1608645910763908E-2</v>
      </c>
      <c r="G10" s="34">
        <v>1.8700286381528586E-2</v>
      </c>
      <c r="H10" s="33">
        <f t="shared" ref="H10:I10" si="0">H50/H44</f>
        <v>-6.0376073227843607E-2</v>
      </c>
      <c r="I10" s="34">
        <f t="shared" si="0"/>
        <v>-2.281610163491796E-2</v>
      </c>
      <c r="J10" s="34">
        <f>J50/J44</f>
        <v>2.0411808231061671E-3</v>
      </c>
      <c r="K10" s="34">
        <f>K50/K44</f>
        <v>-3.2088065799860122E-2</v>
      </c>
      <c r="L10" s="33">
        <f>L50/L44</f>
        <v>1.3337915838833909E-2</v>
      </c>
      <c r="M10" s="34">
        <f>M50/M44</f>
        <v>1.7756694589152508E-2</v>
      </c>
      <c r="N10" s="34">
        <v>2.9138127062477467E-2</v>
      </c>
      <c r="O10" s="34">
        <v>2.973308015058293E-2</v>
      </c>
      <c r="P10" s="33">
        <v>2.0956108860302042E-2</v>
      </c>
      <c r="Q10" s="34">
        <v>2.6880852594832701E-2</v>
      </c>
      <c r="R10" s="34">
        <v>2.9113340251354779E-2</v>
      </c>
      <c r="S10" s="34">
        <v>6.4619896560607168E-2</v>
      </c>
      <c r="T10" s="33">
        <v>1.9025403992884413E-2</v>
      </c>
      <c r="U10" s="34">
        <f>U50/U44</f>
        <v>1.6245983920109206E-2</v>
      </c>
      <c r="V10" s="34">
        <v>3.0075303624350107E-2</v>
      </c>
      <c r="W10" s="275">
        <v>3.8177549788960215E-2</v>
      </c>
      <c r="X10" s="33">
        <v>1.1024079919356384E-2</v>
      </c>
      <c r="Y10" s="34">
        <v>7.5930144267274111E-4</v>
      </c>
      <c r="Z10" s="34">
        <v>4.38468686000354E-2</v>
      </c>
      <c r="AA10" s="35">
        <v>4.2273189385274787E-2</v>
      </c>
      <c r="AB10" s="33">
        <f t="shared" ref="AB10" si="1">AB50/AB44</f>
        <v>2.1766603879489942E-2</v>
      </c>
      <c r="AC10" s="35">
        <f>AC50/AC44</f>
        <v>3.5542575192510591E-2</v>
      </c>
      <c r="AE10" s="33">
        <f>AE50/AE44</f>
        <v>3.935118342311484E-2</v>
      </c>
      <c r="AF10" s="34">
        <f>AF50/AF44</f>
        <v>-2.7007810024440138E-2</v>
      </c>
      <c r="AG10" s="34">
        <v>2.2775102966188194E-2</v>
      </c>
      <c r="AH10" s="34">
        <v>3.6894732403077529E-2</v>
      </c>
      <c r="AI10" s="310">
        <v>2.6404147830532906E-2</v>
      </c>
      <c r="AJ10" s="275">
        <v>2.5250051822162164E-2</v>
      </c>
    </row>
    <row r="11" spans="1:36" ht="19.649999999999999" customHeight="1" collapsed="1">
      <c r="A11" s="5" t="s">
        <v>17</v>
      </c>
      <c r="B11" s="5"/>
      <c r="C11" s="5"/>
      <c r="D11" s="36">
        <v>15624</v>
      </c>
      <c r="E11" s="37">
        <v>13634</v>
      </c>
      <c r="F11" s="37">
        <v>12211</v>
      </c>
      <c r="G11" s="37">
        <v>-1923</v>
      </c>
      <c r="H11" s="36">
        <v>-18659</v>
      </c>
      <c r="I11" s="37">
        <v>-3536</v>
      </c>
      <c r="J11" s="37">
        <v>-276</v>
      </c>
      <c r="K11" s="37">
        <v>-10259</v>
      </c>
      <c r="L11" s="36">
        <v>4787</v>
      </c>
      <c r="M11" s="37">
        <v>6370</v>
      </c>
      <c r="N11" s="37">
        <v>12029</v>
      </c>
      <c r="O11" s="37">
        <v>7185</v>
      </c>
      <c r="P11" s="36">
        <v>7591</v>
      </c>
      <c r="Q11" s="37">
        <v>7323</v>
      </c>
      <c r="R11" s="37">
        <v>12524</v>
      </c>
      <c r="S11" s="37">
        <v>26929</v>
      </c>
      <c r="T11" s="36">
        <v>8795</v>
      </c>
      <c r="U11" s="37">
        <v>6819</v>
      </c>
      <c r="V11" s="37">
        <v>14663</v>
      </c>
      <c r="W11" s="276">
        <v>13899</v>
      </c>
      <c r="X11" s="36">
        <v>7798</v>
      </c>
      <c r="Y11" s="37">
        <v>1470</v>
      </c>
      <c r="Z11" s="37">
        <v>18586</v>
      </c>
      <c r="AA11" s="38">
        <v>17855</v>
      </c>
      <c r="AB11" s="36">
        <v>9655</v>
      </c>
      <c r="AC11" s="38">
        <v>14922</v>
      </c>
      <c r="AD11" s="27"/>
      <c r="AE11" s="36">
        <f>AE57</f>
        <v>39546</v>
      </c>
      <c r="AF11" s="37">
        <f>AF57</f>
        <v>-32730</v>
      </c>
      <c r="AG11" s="37">
        <v>30371</v>
      </c>
      <c r="AH11" s="37">
        <v>54367</v>
      </c>
      <c r="AI11" s="316">
        <v>44176</v>
      </c>
      <c r="AJ11" s="276">
        <v>45709</v>
      </c>
    </row>
    <row r="12" spans="1:36" s="19" customFormat="1" ht="16.5" customHeight="1" thickBot="1">
      <c r="A12" s="39"/>
      <c r="B12" s="39" t="s">
        <v>16</v>
      </c>
      <c r="C12" s="39"/>
      <c r="D12" s="40">
        <f>D11/D44</f>
        <v>3.2713225364056069E-2</v>
      </c>
      <c r="E12" s="41">
        <f>E11/E44</f>
        <v>2.6362500821773716E-2</v>
      </c>
      <c r="F12" s="41">
        <v>2.4465891809906971E-2</v>
      </c>
      <c r="G12" s="41">
        <v>-3.7361715025121529E-3</v>
      </c>
      <c r="H12" s="40">
        <f>H11/H44</f>
        <v>-5.295962534591641E-2</v>
      </c>
      <c r="I12" s="41">
        <f>I11/I44</f>
        <v>-8.6323277745634398E-3</v>
      </c>
      <c r="J12" s="41">
        <f>J11/J44</f>
        <v>-6.401885308832978E-4</v>
      </c>
      <c r="K12" s="41">
        <f>K11/K44</f>
        <v>-2.0979635908531323E-2</v>
      </c>
      <c r="L12" s="40">
        <f t="shared" ref="L12:M12" si="2">L11/L44</f>
        <v>1.1268726283180007E-2</v>
      </c>
      <c r="M12" s="41">
        <f t="shared" si="2"/>
        <v>1.5215246776015804E-2</v>
      </c>
      <c r="N12" s="41">
        <v>2.779780557019125E-2</v>
      </c>
      <c r="O12" s="41">
        <v>1.4894525614023451E-2</v>
      </c>
      <c r="P12" s="40">
        <v>1.6525848988006731E-2</v>
      </c>
      <c r="Q12" s="41">
        <v>1.4241678740555626E-2</v>
      </c>
      <c r="R12" s="41">
        <v>2.2562838694799955E-2</v>
      </c>
      <c r="S12" s="41">
        <v>4.4468700666477311E-2</v>
      </c>
      <c r="T12" s="40">
        <v>1.6451521789147421E-2</v>
      </c>
      <c r="U12" s="41">
        <f t="shared" ref="U12" si="3">U11/U44</f>
        <v>1.1797802380322117E-2</v>
      </c>
      <c r="V12" s="41">
        <v>2.5060759052329695E-2</v>
      </c>
      <c r="W12" s="277">
        <v>2.134042889671257E-2</v>
      </c>
      <c r="X12" s="40">
        <v>1.3576401644210531E-2</v>
      </c>
      <c r="Y12" s="41">
        <v>2.3399855780480701E-3</v>
      </c>
      <c r="Z12" s="41">
        <v>2.9370306692624713E-2</v>
      </c>
      <c r="AA12" s="42">
        <v>2.5784436049399832E-2</v>
      </c>
      <c r="AB12" s="40">
        <f>AB11/AB8</f>
        <v>1.6623679833608244E-2</v>
      </c>
      <c r="AC12" s="42">
        <f t="shared" ref="AC12" si="4">AC11/AC8</f>
        <v>2.3255560248296198E-2</v>
      </c>
      <c r="AE12" s="40">
        <f>AE57/AE44</f>
        <v>1.9688536179788708E-2</v>
      </c>
      <c r="AF12" s="41">
        <f>AF57/AF44</f>
        <v>-1.9458179182899157E-2</v>
      </c>
      <c r="AG12" s="41">
        <v>1.7270115154951107E-2</v>
      </c>
      <c r="AH12" s="41">
        <v>2.5474421089130252E-2</v>
      </c>
      <c r="AI12" s="317">
        <v>1.8806404633146118E-2</v>
      </c>
      <c r="AJ12" s="277">
        <v>1.8081978704651652E-2</v>
      </c>
    </row>
    <row r="13" spans="1:36" ht="18.75" customHeight="1" thickBot="1">
      <c r="A13" s="43" t="s">
        <v>18</v>
      </c>
      <c r="B13" s="44"/>
      <c r="C13" s="44"/>
      <c r="D13" s="45">
        <f>D111</f>
        <v>-6041</v>
      </c>
      <c r="E13" s="46">
        <f>E111</f>
        <v>-47528</v>
      </c>
      <c r="F13" s="46">
        <v>-12763</v>
      </c>
      <c r="G13" s="46">
        <v>18442</v>
      </c>
      <c r="H13" s="45">
        <v>15899</v>
      </c>
      <c r="I13" s="46">
        <v>-17682</v>
      </c>
      <c r="J13" s="46">
        <v>29010</v>
      </c>
      <c r="K13" s="46">
        <v>36176</v>
      </c>
      <c r="L13" s="45">
        <v>33779</v>
      </c>
      <c r="M13" s="46">
        <v>-22911</v>
      </c>
      <c r="N13" s="46">
        <v>-6259</v>
      </c>
      <c r="O13" s="46">
        <v>18498</v>
      </c>
      <c r="P13" s="45">
        <v>5337</v>
      </c>
      <c r="Q13" s="46">
        <v>-90781</v>
      </c>
      <c r="R13" s="46">
        <v>-12243</v>
      </c>
      <c r="S13" s="46">
        <v>30456</v>
      </c>
      <c r="T13" s="45">
        <v>3448</v>
      </c>
      <c r="U13" s="46">
        <f t="shared" ref="U13" si="5">U111</f>
        <v>-22420</v>
      </c>
      <c r="V13" s="46">
        <v>10317</v>
      </c>
      <c r="W13" s="278">
        <v>27795</v>
      </c>
      <c r="X13" s="45">
        <v>31522</v>
      </c>
      <c r="Y13" s="46">
        <v>-6606</v>
      </c>
      <c r="Z13" s="46">
        <v>-8433</v>
      </c>
      <c r="AA13" s="47">
        <v>41033</v>
      </c>
      <c r="AB13" s="45">
        <v>6781</v>
      </c>
      <c r="AC13" s="47">
        <f t="shared" ref="AC13" si="6">AC111</f>
        <v>-13103</v>
      </c>
      <c r="AD13" s="27"/>
      <c r="AE13" s="45">
        <f>AE111</f>
        <v>-47890</v>
      </c>
      <c r="AF13" s="46">
        <f>AF111</f>
        <v>63403</v>
      </c>
      <c r="AG13" s="46">
        <v>23107</v>
      </c>
      <c r="AH13" s="46">
        <v>-67231</v>
      </c>
      <c r="AI13" s="318">
        <v>27795</v>
      </c>
      <c r="AJ13" s="278">
        <v>57516</v>
      </c>
    </row>
    <row r="14" spans="1:36" s="48" customFormat="1" ht="16.5" customHeight="1">
      <c r="B14" s="48" t="s">
        <v>19</v>
      </c>
      <c r="D14" s="167"/>
      <c r="E14" s="34"/>
      <c r="F14" s="34"/>
      <c r="G14" s="34"/>
      <c r="H14" s="241"/>
      <c r="I14" s="242"/>
      <c r="J14" s="242"/>
      <c r="K14" s="242"/>
      <c r="L14" s="241"/>
      <c r="M14" s="242"/>
      <c r="N14" s="242"/>
      <c r="O14" s="242"/>
      <c r="P14" s="241"/>
      <c r="Q14" s="242"/>
      <c r="R14" s="242"/>
      <c r="S14" s="242"/>
      <c r="T14" s="241"/>
      <c r="U14" s="258"/>
      <c r="V14" s="258"/>
      <c r="W14" s="294"/>
      <c r="X14" s="241"/>
      <c r="Y14" s="258"/>
      <c r="Z14" s="258"/>
      <c r="AA14" s="303"/>
      <c r="AB14" s="331"/>
      <c r="AC14" s="336"/>
      <c r="AE14" s="211">
        <f>'RICOH Data_FY2017～(segment)'!W14</f>
        <v>4.268441424152216E-2</v>
      </c>
      <c r="AF14" s="52">
        <f>AF11/((AE97+AF97)/2)</f>
        <v>-3.556416136545517E-2</v>
      </c>
      <c r="AG14" s="52">
        <v>3.3332821156699707E-2</v>
      </c>
      <c r="AH14" s="52">
        <v>5.9300893652807211E-2</v>
      </c>
      <c r="AI14" s="311">
        <v>4.4842402950243568E-2</v>
      </c>
      <c r="AJ14" s="279">
        <v>4.4188282356830845E-2</v>
      </c>
    </row>
    <row r="15" spans="1:36" s="53" customFormat="1" ht="16.5" customHeight="1">
      <c r="B15" s="53" t="s">
        <v>20</v>
      </c>
      <c r="D15" s="33">
        <f>D97/D100</f>
        <v>0.33165350271325406</v>
      </c>
      <c r="E15" s="34">
        <f>E97/E100</f>
        <v>0.32395544025209055</v>
      </c>
      <c r="F15" s="34">
        <v>0.32842477028523542</v>
      </c>
      <c r="G15" s="34">
        <v>0.32095011760521264</v>
      </c>
      <c r="H15" s="33">
        <f t="shared" ref="H15:M15" si="7">H97/H100</f>
        <v>0.49208587445090729</v>
      </c>
      <c r="I15" s="34">
        <f t="shared" si="7"/>
        <v>0.48757611361656206</v>
      </c>
      <c r="J15" s="34">
        <f t="shared" si="7"/>
        <v>0.48615645011692638</v>
      </c>
      <c r="K15" s="34">
        <f t="shared" si="7"/>
        <v>0.48745251256973476</v>
      </c>
      <c r="L15" s="33">
        <f t="shared" si="7"/>
        <v>0.48998838380095983</v>
      </c>
      <c r="M15" s="34">
        <f t="shared" si="7"/>
        <v>0.48770321271361516</v>
      </c>
      <c r="N15" s="34">
        <v>0.48295117929364506</v>
      </c>
      <c r="O15" s="34">
        <v>0.48673414437524481</v>
      </c>
      <c r="P15" s="33">
        <v>0.48346504978016758</v>
      </c>
      <c r="Q15" s="34">
        <v>0.44466471561637932</v>
      </c>
      <c r="R15" s="34">
        <v>0.43377959774426139</v>
      </c>
      <c r="S15" s="34">
        <v>0.43329072781024358</v>
      </c>
      <c r="T15" s="33">
        <v>0.44508658509262006</v>
      </c>
      <c r="U15" s="34">
        <f t="shared" ref="U15:V15" si="8">U97/U100</f>
        <v>0.45427015163823942</v>
      </c>
      <c r="V15" s="34">
        <f t="shared" si="8"/>
        <v>0.44746839026445057</v>
      </c>
      <c r="W15" s="275">
        <v>0.45434929522018219</v>
      </c>
      <c r="X15" s="33">
        <v>0.45961564876976702</v>
      </c>
      <c r="Y15" s="34">
        <v>0.42902480508371332</v>
      </c>
      <c r="Z15" s="34">
        <v>0.42702421755302938</v>
      </c>
      <c r="AA15" s="35">
        <v>0.43701969948046726</v>
      </c>
      <c r="AB15" s="33">
        <f t="shared" ref="AB15:AC15" si="9">AB97/AB100</f>
        <v>0.44740356842283896</v>
      </c>
      <c r="AC15" s="35">
        <f t="shared" si="9"/>
        <v>0.44777085753660867</v>
      </c>
      <c r="AE15" s="33">
        <f>AE97/AE100</f>
        <v>0.32095011760521264</v>
      </c>
      <c r="AF15" s="34">
        <f>AF97/AF100</f>
        <v>0.48745251256973476</v>
      </c>
      <c r="AG15" s="34">
        <v>0.48673414437524481</v>
      </c>
      <c r="AH15" s="34">
        <v>0.43329072781024358</v>
      </c>
      <c r="AI15" s="310">
        <v>0.45434929522018219</v>
      </c>
      <c r="AJ15" s="275">
        <v>0.43701969948046726</v>
      </c>
    </row>
    <row r="16" spans="1:36" ht="19.649999999999999" customHeight="1" collapsed="1">
      <c r="A16" s="79"/>
      <c r="B16" s="79" t="s">
        <v>21</v>
      </c>
      <c r="C16" s="79"/>
      <c r="D16" s="98">
        <v>959063</v>
      </c>
      <c r="E16" s="88">
        <v>1022260</v>
      </c>
      <c r="F16" s="88">
        <v>1034082</v>
      </c>
      <c r="G16" s="99">
        <v>179664</v>
      </c>
      <c r="H16" s="98">
        <v>217311</v>
      </c>
      <c r="I16" s="88">
        <v>262523</v>
      </c>
      <c r="J16" s="88">
        <v>242281</v>
      </c>
      <c r="K16" s="88">
        <v>222407</v>
      </c>
      <c r="L16" s="98">
        <v>222223</v>
      </c>
      <c r="M16" s="88">
        <v>235077</v>
      </c>
      <c r="N16" s="88">
        <v>235514</v>
      </c>
      <c r="O16" s="88">
        <v>235437</v>
      </c>
      <c r="P16" s="98">
        <v>262698</v>
      </c>
      <c r="Q16" s="88">
        <v>342201</v>
      </c>
      <c r="R16" s="88">
        <v>356744</v>
      </c>
      <c r="S16" s="88">
        <v>362938</v>
      </c>
      <c r="T16" s="98">
        <v>348731</v>
      </c>
      <c r="U16" s="88">
        <f t="shared" ref="U16" si="10">U81+U87</f>
        <v>347203</v>
      </c>
      <c r="V16" s="88">
        <v>376137</v>
      </c>
      <c r="W16" s="273">
        <v>349566</v>
      </c>
      <c r="X16" s="98">
        <v>355920</v>
      </c>
      <c r="Y16" s="88">
        <v>403415</v>
      </c>
      <c r="Z16" s="88">
        <v>438393</v>
      </c>
      <c r="AA16" s="99">
        <v>440646</v>
      </c>
      <c r="AB16" s="98">
        <v>427232</v>
      </c>
      <c r="AC16" s="99">
        <v>468832</v>
      </c>
      <c r="AD16" s="27"/>
      <c r="AE16" s="98">
        <f>AE81+AE87</f>
        <v>179664</v>
      </c>
      <c r="AF16" s="88">
        <f>AF81+AF87</f>
        <v>222407</v>
      </c>
      <c r="AG16" s="88">
        <v>222876</v>
      </c>
      <c r="AH16" s="88">
        <v>362938</v>
      </c>
      <c r="AI16" s="314">
        <v>349566</v>
      </c>
      <c r="AJ16" s="273">
        <v>440646</v>
      </c>
    </row>
    <row r="17" spans="1:36" ht="14.4" customHeight="1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6"/>
      <c r="X17" s="25"/>
      <c r="Y17" s="25"/>
      <c r="Z17" s="25"/>
      <c r="AA17" s="25"/>
      <c r="AB17" s="25"/>
      <c r="AC17" s="25"/>
      <c r="AD17" s="27"/>
      <c r="AE17" s="25"/>
      <c r="AF17" s="25"/>
      <c r="AG17" s="25"/>
      <c r="AH17" s="25"/>
      <c r="AI17" s="25"/>
      <c r="AJ17" s="25"/>
    </row>
    <row r="18" spans="1:36" s="19" customFormat="1" ht="16.5" customHeight="1">
      <c r="A18" s="54" t="s">
        <v>22</v>
      </c>
      <c r="B18" s="17"/>
      <c r="C18" s="1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6"/>
      <c r="V18" s="56"/>
      <c r="W18" s="295"/>
      <c r="X18" s="55"/>
      <c r="Y18" s="56"/>
      <c r="Z18" s="56"/>
      <c r="AA18" s="56"/>
      <c r="AB18" s="56"/>
      <c r="AC18" s="56"/>
      <c r="AD18" s="56"/>
      <c r="AE18" s="55"/>
      <c r="AF18" s="55"/>
      <c r="AG18" s="55"/>
      <c r="AH18" s="55"/>
      <c r="AI18" s="55"/>
      <c r="AJ18" s="55"/>
    </row>
    <row r="19" spans="1:36" s="19" customFormat="1" ht="16.5" customHeight="1">
      <c r="A19" s="57"/>
      <c r="B19" s="57" t="s">
        <v>23</v>
      </c>
      <c r="C19" s="57"/>
      <c r="D19" s="58">
        <v>23579.576503814998</v>
      </c>
      <c r="E19" s="59">
        <v>28035</v>
      </c>
      <c r="F19" s="59">
        <v>24031</v>
      </c>
      <c r="G19" s="59">
        <v>27205</v>
      </c>
      <c r="H19" s="58">
        <v>21698.638621609392</v>
      </c>
      <c r="I19" s="59">
        <v>23285.944545128204</v>
      </c>
      <c r="J19" s="59">
        <v>21139</v>
      </c>
      <c r="K19" s="59">
        <v>24262.65459049974</v>
      </c>
      <c r="L19" s="58">
        <v>22988.485608091833</v>
      </c>
      <c r="M19" s="59">
        <v>24180.419967519971</v>
      </c>
      <c r="N19" s="59">
        <v>23906.019598662198</v>
      </c>
      <c r="O19" s="59">
        <v>25646.074825725991</v>
      </c>
      <c r="P19" s="58">
        <v>23188</v>
      </c>
      <c r="Q19" s="59">
        <v>26589.516992275803</v>
      </c>
      <c r="R19" s="59">
        <v>27565.29868297559</v>
      </c>
      <c r="S19" s="59">
        <v>30405.036327583839</v>
      </c>
      <c r="T19" s="58">
        <v>26092</v>
      </c>
      <c r="U19" s="59">
        <v>28838.341984043374</v>
      </c>
      <c r="V19" s="59">
        <v>26846.379496707301</v>
      </c>
      <c r="W19" s="270">
        <v>28122.150296201915</v>
      </c>
      <c r="X19" s="58">
        <v>23695.676920836588</v>
      </c>
      <c r="Y19" s="59">
        <v>25296.168660034102</v>
      </c>
      <c r="Z19" s="59">
        <v>22407.154419129343</v>
      </c>
      <c r="AA19" s="60">
        <v>23669</v>
      </c>
      <c r="AB19" s="58">
        <v>19055</v>
      </c>
      <c r="AC19" s="60">
        <v>17496</v>
      </c>
      <c r="AD19" s="25"/>
      <c r="AE19" s="36">
        <v>102850.576503815</v>
      </c>
      <c r="AF19" s="37">
        <v>90386.237757237337</v>
      </c>
      <c r="AG19" s="37">
        <v>96721</v>
      </c>
      <c r="AH19" s="37">
        <v>107747.85200283522</v>
      </c>
      <c r="AI19" s="316">
        <v>109898.87177695254</v>
      </c>
      <c r="AJ19" s="280">
        <v>95068</v>
      </c>
    </row>
    <row r="20" spans="1:36" s="57" customFormat="1" ht="16.5" customHeight="1">
      <c r="B20" s="57" t="s">
        <v>24</v>
      </c>
      <c r="D20" s="61">
        <v>15388</v>
      </c>
      <c r="E20" s="27">
        <v>17103</v>
      </c>
      <c r="F20" s="27">
        <v>16067</v>
      </c>
      <c r="G20" s="27">
        <v>13970</v>
      </c>
      <c r="H20" s="61">
        <v>11392.286489149395</v>
      </c>
      <c r="I20" s="27">
        <v>11508.749158348466</v>
      </c>
      <c r="J20" s="27">
        <v>11311</v>
      </c>
      <c r="K20" s="27">
        <v>11176.388687977211</v>
      </c>
      <c r="L20" s="61">
        <v>10499</v>
      </c>
      <c r="M20" s="27">
        <v>10244.572403139027</v>
      </c>
      <c r="N20" s="27">
        <v>9536.4275968609727</v>
      </c>
      <c r="O20" s="27">
        <v>9571.0507422098235</v>
      </c>
      <c r="P20" s="61">
        <v>10158</v>
      </c>
      <c r="Q20" s="27">
        <v>10284.977402474484</v>
      </c>
      <c r="R20" s="27">
        <v>10560.64020877003</v>
      </c>
      <c r="S20" s="27">
        <v>10991.737493213212</v>
      </c>
      <c r="T20" s="61">
        <v>10703</v>
      </c>
      <c r="U20" s="27">
        <v>10701.274367195278</v>
      </c>
      <c r="V20" s="27">
        <v>11010.472063994101</v>
      </c>
      <c r="W20" s="290">
        <v>11605.804847854513</v>
      </c>
      <c r="X20" s="61">
        <v>11496</v>
      </c>
      <c r="Y20" s="27">
        <v>11550.002383365751</v>
      </c>
      <c r="Z20" s="27">
        <v>11437.997616634249</v>
      </c>
      <c r="AA20" s="62">
        <v>10333</v>
      </c>
      <c r="AB20" s="61">
        <v>10779</v>
      </c>
      <c r="AC20" s="62">
        <v>11180</v>
      </c>
      <c r="AD20" s="25"/>
      <c r="AE20" s="24">
        <v>62528</v>
      </c>
      <c r="AF20" s="25">
        <v>45388.424335475072</v>
      </c>
      <c r="AG20" s="25">
        <v>39851.050742209824</v>
      </c>
      <c r="AH20" s="25">
        <v>41995.355104457725</v>
      </c>
      <c r="AI20" s="266">
        <v>44020.551279043895</v>
      </c>
      <c r="AJ20" s="280">
        <v>44817</v>
      </c>
    </row>
    <row r="21" spans="1:36" s="57" customFormat="1" ht="17.25" customHeight="1">
      <c r="B21" s="71" t="s">
        <v>25</v>
      </c>
      <c r="C21" s="71"/>
      <c r="D21" s="95">
        <v>14776.666862718699</v>
      </c>
      <c r="E21" s="96">
        <v>23373</v>
      </c>
      <c r="F21" s="96">
        <v>22859</v>
      </c>
      <c r="G21" s="97">
        <v>25587</v>
      </c>
      <c r="H21" s="95">
        <v>11999.973196805566</v>
      </c>
      <c r="I21" s="96">
        <v>10457.084829388854</v>
      </c>
      <c r="J21" s="96">
        <v>7483</v>
      </c>
      <c r="K21" s="96">
        <v>12214.433480626387</v>
      </c>
      <c r="L21" s="95">
        <v>7584</v>
      </c>
      <c r="M21" s="96">
        <v>7624.8231944144027</v>
      </c>
      <c r="N21" s="96">
        <v>7476.1768055855973</v>
      </c>
      <c r="O21" s="96">
        <v>14674.04137611053</v>
      </c>
      <c r="P21" s="95">
        <v>8281</v>
      </c>
      <c r="Q21" s="96">
        <v>10212.586045445149</v>
      </c>
      <c r="R21" s="96">
        <v>10053.653604659212</v>
      </c>
      <c r="S21" s="96">
        <v>16910.697899587165</v>
      </c>
      <c r="T21" s="95">
        <v>10590</v>
      </c>
      <c r="U21" s="96">
        <v>11350.586419779198</v>
      </c>
      <c r="V21" s="96">
        <v>11696.472042444801</v>
      </c>
      <c r="W21" s="296">
        <v>19630.33622474828</v>
      </c>
      <c r="X21" s="95">
        <v>10505.175236999065</v>
      </c>
      <c r="Y21" s="96">
        <v>11664.439660195894</v>
      </c>
      <c r="Z21" s="96">
        <v>11551.385102805041</v>
      </c>
      <c r="AA21" s="97">
        <v>15267</v>
      </c>
      <c r="AB21" s="95">
        <v>9704</v>
      </c>
      <c r="AC21" s="97">
        <v>12045</v>
      </c>
      <c r="AD21" s="25"/>
      <c r="AE21" s="98">
        <v>86595.666862718703</v>
      </c>
      <c r="AF21" s="88">
        <v>42154.491506820807</v>
      </c>
      <c r="AG21" s="88">
        <v>37359.04137611053</v>
      </c>
      <c r="AH21" s="88">
        <v>45457.937549691524</v>
      </c>
      <c r="AI21" s="314">
        <v>53267.394686972279</v>
      </c>
      <c r="AJ21" s="273">
        <v>48988</v>
      </c>
    </row>
    <row r="22" spans="1:36" s="57" customFormat="1" ht="14.4" customHeight="1">
      <c r="W22" s="291"/>
      <c r="AA22" s="305"/>
      <c r="AI22" s="267"/>
      <c r="AJ22" s="267"/>
    </row>
    <row r="23" spans="1:36" s="19" customFormat="1" ht="15" customHeight="1">
      <c r="A23" s="63" t="s">
        <v>26</v>
      </c>
      <c r="W23" s="297"/>
      <c r="AA23" s="20"/>
      <c r="AI23" s="269"/>
      <c r="AJ23" s="269"/>
    </row>
    <row r="24" spans="1:36" s="57" customFormat="1" ht="16.5" customHeight="1">
      <c r="A24" s="64"/>
      <c r="B24" s="64" t="s">
        <v>27</v>
      </c>
      <c r="C24" s="64"/>
      <c r="D24" s="65">
        <v>32.1</v>
      </c>
      <c r="E24" s="66">
        <v>31.9</v>
      </c>
      <c r="F24" s="66">
        <v>31.7</v>
      </c>
      <c r="G24" s="66">
        <v>31.6</v>
      </c>
      <c r="H24" s="65">
        <v>31.2</v>
      </c>
      <c r="I24" s="66">
        <v>30.9</v>
      </c>
      <c r="J24" s="66">
        <v>30.6</v>
      </c>
      <c r="K24" s="66">
        <v>30.3</v>
      </c>
      <c r="L24" s="65">
        <v>30.4</v>
      </c>
      <c r="M24" s="66">
        <v>30</v>
      </c>
      <c r="N24" s="66">
        <v>29.7</v>
      </c>
      <c r="O24" s="66">
        <v>29.4</v>
      </c>
      <c r="P24" s="65">
        <v>29.6</v>
      </c>
      <c r="Q24" s="66">
        <v>33.1</v>
      </c>
      <c r="R24" s="66">
        <v>32.700000000000003</v>
      </c>
      <c r="S24" s="66">
        <v>31.8</v>
      </c>
      <c r="T24" s="65">
        <v>32.1</v>
      </c>
      <c r="U24" s="66">
        <v>31.8</v>
      </c>
      <c r="V24" s="66">
        <v>31.518000000000001</v>
      </c>
      <c r="W24" s="281">
        <v>31</v>
      </c>
      <c r="X24" s="65">
        <v>31.1</v>
      </c>
      <c r="Y24" s="66">
        <v>30.6</v>
      </c>
      <c r="Z24" s="66">
        <v>30.3</v>
      </c>
      <c r="AA24" s="67">
        <v>29.8</v>
      </c>
      <c r="AB24" s="65">
        <v>29.5</v>
      </c>
      <c r="AC24" s="67">
        <v>29.3</v>
      </c>
      <c r="AD24" s="68"/>
      <c r="AE24" s="65">
        <v>31.6</v>
      </c>
      <c r="AF24" s="66">
        <f>K24</f>
        <v>30.3</v>
      </c>
      <c r="AG24" s="66">
        <v>29.4</v>
      </c>
      <c r="AH24" s="66">
        <v>31.8</v>
      </c>
      <c r="AI24" s="319">
        <f>W24</f>
        <v>31</v>
      </c>
      <c r="AJ24" s="281">
        <v>29.8</v>
      </c>
    </row>
    <row r="25" spans="1:36" s="57" customFormat="1" ht="16.5" customHeight="1">
      <c r="B25" s="57" t="s">
        <v>28</v>
      </c>
      <c r="D25" s="69">
        <v>59.9</v>
      </c>
      <c r="E25" s="68">
        <v>59.6</v>
      </c>
      <c r="F25" s="68">
        <v>58.8</v>
      </c>
      <c r="G25" s="68">
        <v>58.4</v>
      </c>
      <c r="H25" s="69">
        <v>55.5</v>
      </c>
      <c r="I25" s="68">
        <v>53.3</v>
      </c>
      <c r="J25" s="68">
        <v>52.2</v>
      </c>
      <c r="K25" s="68">
        <v>50.8</v>
      </c>
      <c r="L25" s="69">
        <v>50</v>
      </c>
      <c r="M25" s="68">
        <v>49.8</v>
      </c>
      <c r="N25" s="68">
        <v>49</v>
      </c>
      <c r="O25" s="68">
        <v>48.9</v>
      </c>
      <c r="P25" s="69">
        <v>48.4</v>
      </c>
      <c r="Q25" s="68">
        <v>48.5</v>
      </c>
      <c r="R25" s="68">
        <v>48.9</v>
      </c>
      <c r="S25" s="68">
        <v>49.2</v>
      </c>
      <c r="T25" s="69">
        <v>49.3</v>
      </c>
      <c r="U25" s="68">
        <v>49.2</v>
      </c>
      <c r="V25" s="68">
        <v>49</v>
      </c>
      <c r="W25" s="282">
        <v>48.4</v>
      </c>
      <c r="X25" s="69">
        <v>47.7</v>
      </c>
      <c r="Y25" s="68">
        <v>49.9</v>
      </c>
      <c r="Z25" s="68">
        <v>49.4</v>
      </c>
      <c r="AA25" s="70">
        <v>48.8</v>
      </c>
      <c r="AB25" s="69">
        <v>47.7</v>
      </c>
      <c r="AC25" s="70">
        <v>47.5</v>
      </c>
      <c r="AD25" s="68"/>
      <c r="AE25" s="69">
        <v>58.4</v>
      </c>
      <c r="AF25" s="68">
        <f>K25</f>
        <v>50.8</v>
      </c>
      <c r="AG25" s="68">
        <v>48.9</v>
      </c>
      <c r="AH25" s="68">
        <v>49.2</v>
      </c>
      <c r="AI25" s="312">
        <f>W25</f>
        <v>48.4</v>
      </c>
      <c r="AJ25" s="282">
        <v>48.8</v>
      </c>
    </row>
    <row r="26" spans="1:36" s="57" customFormat="1" ht="16.5" customHeight="1">
      <c r="A26" s="71"/>
      <c r="B26" s="71" t="s">
        <v>29</v>
      </c>
      <c r="C26" s="71"/>
      <c r="D26" s="72">
        <v>92</v>
      </c>
      <c r="E26" s="73">
        <v>91.6</v>
      </c>
      <c r="F26" s="73">
        <v>90.6</v>
      </c>
      <c r="G26" s="73">
        <v>90.1</v>
      </c>
      <c r="H26" s="72">
        <v>86.7</v>
      </c>
      <c r="I26" s="73">
        <v>84.2</v>
      </c>
      <c r="J26" s="73">
        <v>82.9</v>
      </c>
      <c r="K26" s="73">
        <v>81.099999999999994</v>
      </c>
      <c r="L26" s="72">
        <v>80.400000000000006</v>
      </c>
      <c r="M26" s="73">
        <v>79.900000000000006</v>
      </c>
      <c r="N26" s="73">
        <v>78.8</v>
      </c>
      <c r="O26" s="73">
        <v>78.3</v>
      </c>
      <c r="P26" s="72">
        <v>78</v>
      </c>
      <c r="Q26" s="73">
        <v>81.599999999999994</v>
      </c>
      <c r="R26" s="73">
        <v>81.7</v>
      </c>
      <c r="S26" s="73">
        <v>81</v>
      </c>
      <c r="T26" s="72">
        <v>81.5</v>
      </c>
      <c r="U26" s="73">
        <v>81</v>
      </c>
      <c r="V26" s="73">
        <v>80.5</v>
      </c>
      <c r="W26" s="283">
        <v>79.5</v>
      </c>
      <c r="X26" s="72">
        <v>78.8</v>
      </c>
      <c r="Y26" s="73">
        <v>80.5</v>
      </c>
      <c r="Z26" s="73">
        <v>79.8</v>
      </c>
      <c r="AA26" s="74">
        <v>78.599999999999994</v>
      </c>
      <c r="AB26" s="72">
        <v>77.3</v>
      </c>
      <c r="AC26" s="74">
        <v>76.8</v>
      </c>
      <c r="AD26" s="68"/>
      <c r="AE26" s="72">
        <v>90.1</v>
      </c>
      <c r="AF26" s="73">
        <f>K26</f>
        <v>81.099999999999994</v>
      </c>
      <c r="AG26" s="73">
        <v>78.3</v>
      </c>
      <c r="AH26" s="73">
        <v>81</v>
      </c>
      <c r="AI26" s="320">
        <f>W26</f>
        <v>79.5</v>
      </c>
      <c r="AJ26" s="283">
        <v>78.599999999999994</v>
      </c>
    </row>
    <row r="27" spans="1:36" ht="15">
      <c r="U27" s="259"/>
      <c r="V27" s="259"/>
      <c r="W27" s="259"/>
      <c r="X27" s="5"/>
      <c r="AB27" s="259"/>
      <c r="AC27" s="259"/>
    </row>
    <row r="28" spans="1:36" s="19" customFormat="1" ht="15" collapsed="1">
      <c r="A28" s="75" t="s">
        <v>30</v>
      </c>
      <c r="B28" s="76"/>
      <c r="C28" s="76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E28" s="77"/>
      <c r="AF28" s="77"/>
      <c r="AG28" s="77"/>
      <c r="AH28" s="77"/>
      <c r="AI28" s="77"/>
      <c r="AJ28" s="77"/>
    </row>
    <row r="29" spans="1:36" s="19" customFormat="1" ht="6" customHeight="1">
      <c r="A29" s="16"/>
      <c r="B29" s="17"/>
      <c r="C29" s="17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7"/>
      <c r="V29" s="77"/>
      <c r="W29" s="77"/>
      <c r="X29" s="78"/>
      <c r="Y29" s="77"/>
      <c r="Z29" s="77"/>
      <c r="AA29" s="77"/>
      <c r="AB29" s="77"/>
      <c r="AC29" s="77"/>
      <c r="AE29" s="78"/>
      <c r="AF29" s="78"/>
      <c r="AG29" s="78"/>
      <c r="AH29" s="78"/>
      <c r="AI29" s="78"/>
      <c r="AJ29" s="78"/>
    </row>
    <row r="30" spans="1:36" ht="9" customHeight="1">
      <c r="A30" s="5"/>
      <c r="B30" s="5"/>
      <c r="C30" s="5"/>
      <c r="D30" s="6"/>
      <c r="E30" s="5"/>
      <c r="F30" s="5"/>
      <c r="G30" s="5"/>
      <c r="H30" s="6"/>
      <c r="I30" s="5"/>
      <c r="J30" s="5"/>
      <c r="K30" s="7"/>
      <c r="L30" s="6"/>
      <c r="M30" s="5"/>
      <c r="N30" s="5"/>
      <c r="O30" s="7"/>
      <c r="P30" s="6"/>
      <c r="Q30" s="5"/>
      <c r="R30" s="5"/>
      <c r="S30" s="7"/>
      <c r="T30" s="6"/>
      <c r="U30" s="5"/>
      <c r="V30" s="5"/>
      <c r="W30" s="7"/>
      <c r="X30" s="6"/>
      <c r="Y30" s="5"/>
      <c r="Z30" s="5"/>
      <c r="AA30" s="5"/>
      <c r="AB30" s="325"/>
      <c r="AC30" s="334"/>
      <c r="AD30" s="204"/>
      <c r="AE30" s="6"/>
      <c r="AF30" s="5"/>
      <c r="AG30" s="5"/>
      <c r="AH30" s="5"/>
      <c r="AI30" s="5"/>
      <c r="AJ30" s="7"/>
    </row>
    <row r="31" spans="1:36" ht="15">
      <c r="D31" s="8" t="str">
        <f>D4</f>
        <v>FY2019</v>
      </c>
      <c r="E31" s="79"/>
      <c r="F31" s="79"/>
      <c r="G31" s="79"/>
      <c r="H31" s="8" t="str">
        <f>H4</f>
        <v>FY2020</v>
      </c>
      <c r="I31" s="79"/>
      <c r="J31" s="79"/>
      <c r="K31" s="80"/>
      <c r="L31" s="8" t="str">
        <f>L4</f>
        <v>FY2021</v>
      </c>
      <c r="M31" s="79"/>
      <c r="N31" s="79"/>
      <c r="O31" s="80"/>
      <c r="P31" s="8" t="str">
        <f>P4</f>
        <v>FY2022</v>
      </c>
      <c r="Q31" s="79"/>
      <c r="R31" s="79"/>
      <c r="S31" s="80"/>
      <c r="T31" s="8" t="str">
        <f>T4</f>
        <v>FY2023</v>
      </c>
      <c r="U31" s="9"/>
      <c r="V31" s="9"/>
      <c r="W31" s="10"/>
      <c r="X31" s="147" t="s">
        <v>205</v>
      </c>
      <c r="Y31" s="9"/>
      <c r="Z31" s="9"/>
      <c r="AA31" s="9"/>
      <c r="AB31" s="298" t="s">
        <v>207</v>
      </c>
      <c r="AC31" s="304"/>
      <c r="AD31" s="204"/>
      <c r="AE31" s="207" t="str">
        <f t="shared" ref="AE31:AJ31" si="11">AE4</f>
        <v>FY2019</v>
      </c>
      <c r="AF31" s="11" t="str">
        <f t="shared" si="11"/>
        <v>FY2020</v>
      </c>
      <c r="AG31" s="11" t="str">
        <f t="shared" si="11"/>
        <v>FY2021</v>
      </c>
      <c r="AH31" s="11" t="str">
        <f t="shared" si="11"/>
        <v>FY2022</v>
      </c>
      <c r="AI31" s="11" t="str">
        <f t="shared" si="11"/>
        <v>FY2023</v>
      </c>
      <c r="AJ31" s="208" t="str">
        <f t="shared" si="11"/>
        <v>FY2024</v>
      </c>
    </row>
    <row r="32" spans="1:36" ht="19.649999999999999" customHeight="1">
      <c r="A32" s="79"/>
      <c r="B32" s="79"/>
      <c r="C32" s="79"/>
      <c r="D32" s="12" t="s">
        <v>9</v>
      </c>
      <c r="E32" s="13" t="s">
        <v>10</v>
      </c>
      <c r="F32" s="13" t="s">
        <v>11</v>
      </c>
      <c r="G32" s="13" t="str">
        <f>G5</f>
        <v>Q4</v>
      </c>
      <c r="H32" s="12" t="s">
        <v>9</v>
      </c>
      <c r="I32" s="13" t="s">
        <v>10</v>
      </c>
      <c r="J32" s="13" t="str">
        <f>J5</f>
        <v>Q3</v>
      </c>
      <c r="K32" s="14" t="str">
        <f>K5</f>
        <v>Q4</v>
      </c>
      <c r="L32" s="12" t="s">
        <v>9</v>
      </c>
      <c r="M32" s="13" t="s">
        <v>10</v>
      </c>
      <c r="N32" s="13" t="s">
        <v>11</v>
      </c>
      <c r="O32" s="14" t="str">
        <f>O5</f>
        <v>Q4</v>
      </c>
      <c r="P32" s="12" t="s">
        <v>9</v>
      </c>
      <c r="Q32" s="13" t="s">
        <v>10</v>
      </c>
      <c r="R32" s="13" t="s">
        <v>11</v>
      </c>
      <c r="S32" s="14" t="str">
        <f>S5</f>
        <v>Q4</v>
      </c>
      <c r="T32" s="12" t="s">
        <v>9</v>
      </c>
      <c r="U32" s="13" t="s">
        <v>10</v>
      </c>
      <c r="V32" s="13" t="s">
        <v>202</v>
      </c>
      <c r="W32" s="271" t="s">
        <v>12</v>
      </c>
      <c r="X32" s="12" t="s">
        <v>9</v>
      </c>
      <c r="Y32" s="13" t="s">
        <v>10</v>
      </c>
      <c r="Z32" s="13" t="s">
        <v>11</v>
      </c>
      <c r="AA32" s="13" t="s">
        <v>12</v>
      </c>
      <c r="AB32" s="12" t="s">
        <v>9</v>
      </c>
      <c r="AC32" s="13" t="s">
        <v>10</v>
      </c>
      <c r="AD32" s="204"/>
      <c r="AE32" s="209"/>
      <c r="AF32" s="15"/>
      <c r="AG32" s="15"/>
      <c r="AH32" s="15"/>
      <c r="AI32" s="15"/>
      <c r="AJ32" s="210"/>
    </row>
    <row r="33" spans="1:36" s="19" customFormat="1" ht="16.5" customHeight="1">
      <c r="B33" s="19" t="s">
        <v>31</v>
      </c>
      <c r="D33" s="18"/>
      <c r="H33" s="235"/>
      <c r="I33" s="236"/>
      <c r="J33" s="236"/>
      <c r="K33" s="237"/>
      <c r="L33" s="235"/>
      <c r="M33" s="236"/>
      <c r="N33" s="236"/>
      <c r="O33" s="237"/>
      <c r="P33" s="235"/>
      <c r="Q33" s="236"/>
      <c r="R33" s="236"/>
      <c r="S33" s="237"/>
      <c r="T33" s="235"/>
      <c r="U33" s="236"/>
      <c r="V33" s="236"/>
      <c r="W33" s="237"/>
      <c r="X33" s="223"/>
      <c r="Y33" s="224"/>
      <c r="Z33" s="224"/>
      <c r="AA33" s="224"/>
      <c r="AB33" s="223"/>
      <c r="AC33" s="236"/>
      <c r="AD33" s="18"/>
      <c r="AE33" s="213">
        <v>54.58</v>
      </c>
      <c r="AF33" s="87">
        <v>-45.2</v>
      </c>
      <c r="AG33" s="87">
        <v>45.35</v>
      </c>
      <c r="AH33" s="87">
        <v>88.13</v>
      </c>
      <c r="AI33" s="87">
        <v>72.58</v>
      </c>
      <c r="AJ33" s="221">
        <v>78.11</v>
      </c>
    </row>
    <row r="34" spans="1:36" s="19" customFormat="1" ht="16.5" customHeight="1">
      <c r="B34" s="19" t="s">
        <v>32</v>
      </c>
      <c r="D34" s="18"/>
      <c r="H34" s="235"/>
      <c r="I34" s="236"/>
      <c r="J34" s="236"/>
      <c r="K34" s="237"/>
      <c r="L34" s="235"/>
      <c r="M34" s="236"/>
      <c r="N34" s="236"/>
      <c r="O34" s="237"/>
      <c r="P34" s="235"/>
      <c r="Q34" s="236"/>
      <c r="R34" s="236"/>
      <c r="S34" s="237"/>
      <c r="T34" s="235"/>
      <c r="U34" s="236"/>
      <c r="V34" s="236"/>
      <c r="W34" s="237"/>
      <c r="X34" s="235"/>
      <c r="Y34" s="236"/>
      <c r="Z34" s="236"/>
      <c r="AA34" s="236"/>
      <c r="AB34" s="235"/>
      <c r="AC34" s="236"/>
      <c r="AD34" s="18"/>
      <c r="AE34" s="213">
        <v>54.58</v>
      </c>
      <c r="AF34" s="245">
        <v>-45.2</v>
      </c>
      <c r="AG34" s="245">
        <v>45.34</v>
      </c>
      <c r="AH34" s="245">
        <v>88.1</v>
      </c>
      <c r="AI34" s="245">
        <v>72.55</v>
      </c>
      <c r="AJ34" s="243">
        <v>78.040000000000006</v>
      </c>
    </row>
    <row r="35" spans="1:36" s="19" customFormat="1" ht="16.5" customHeight="1">
      <c r="B35" s="19" t="s">
        <v>33</v>
      </c>
      <c r="D35" s="18"/>
      <c r="H35" s="235"/>
      <c r="I35" s="236"/>
      <c r="J35" s="236"/>
      <c r="K35" s="237"/>
      <c r="L35" s="235"/>
      <c r="M35" s="236"/>
      <c r="N35" s="236"/>
      <c r="O35" s="237"/>
      <c r="P35" s="235"/>
      <c r="Q35" s="236"/>
      <c r="R35" s="236"/>
      <c r="S35" s="237"/>
      <c r="T35" s="235"/>
      <c r="U35" s="236"/>
      <c r="V35" s="236"/>
      <c r="W35" s="237"/>
      <c r="X35" s="235"/>
      <c r="Y35" s="236"/>
      <c r="Z35" s="236"/>
      <c r="AA35" s="236"/>
      <c r="AB35" s="235"/>
      <c r="AC35" s="236"/>
      <c r="AD35" s="18"/>
      <c r="AE35" s="213">
        <v>26</v>
      </c>
      <c r="AF35" s="87">
        <v>15</v>
      </c>
      <c r="AG35" s="87">
        <v>26</v>
      </c>
      <c r="AH35" s="87">
        <v>34</v>
      </c>
      <c r="AI35" s="87">
        <v>36</v>
      </c>
      <c r="AJ35" s="221">
        <v>38</v>
      </c>
    </row>
    <row r="36" spans="1:36" s="19" customFormat="1" ht="15" customHeight="1">
      <c r="B36" s="19" t="s">
        <v>34</v>
      </c>
      <c r="D36" s="18"/>
      <c r="H36" s="235"/>
      <c r="I36" s="236"/>
      <c r="J36" s="236"/>
      <c r="K36" s="237"/>
      <c r="L36" s="235"/>
      <c r="M36" s="236"/>
      <c r="N36" s="236"/>
      <c r="O36" s="237"/>
      <c r="P36" s="235"/>
      <c r="Q36" s="236"/>
      <c r="R36" s="236"/>
      <c r="S36" s="237"/>
      <c r="T36" s="235"/>
      <c r="U36" s="236"/>
      <c r="V36" s="236"/>
      <c r="W36" s="237"/>
      <c r="X36" s="235"/>
      <c r="Y36" s="236"/>
      <c r="Z36" s="236"/>
      <c r="AA36" s="236"/>
      <c r="AB36" s="235"/>
      <c r="AC36" s="236"/>
      <c r="AD36" s="18"/>
      <c r="AE36" s="211">
        <f>AE35/AE33</f>
        <v>0.47636496885305973</v>
      </c>
      <c r="AF36" s="52" t="s">
        <v>35</v>
      </c>
      <c r="AG36" s="52">
        <v>0.57331863285556783</v>
      </c>
      <c r="AH36" s="52">
        <v>0.38579371383183936</v>
      </c>
      <c r="AI36" s="52">
        <v>0.4960044089280794</v>
      </c>
      <c r="AJ36" s="212">
        <v>0.48649340673409297</v>
      </c>
    </row>
    <row r="37" spans="1:36" s="19" customFormat="1" ht="15" customHeight="1">
      <c r="A37" s="17"/>
      <c r="B37" s="17" t="s">
        <v>36</v>
      </c>
      <c r="C37" s="17"/>
      <c r="D37" s="256"/>
      <c r="E37" s="17"/>
      <c r="F37" s="17"/>
      <c r="G37" s="255"/>
      <c r="H37" s="238"/>
      <c r="I37" s="239"/>
      <c r="J37" s="239"/>
      <c r="K37" s="240"/>
      <c r="L37" s="238"/>
      <c r="M37" s="239"/>
      <c r="N37" s="239"/>
      <c r="O37" s="240"/>
      <c r="P37" s="238"/>
      <c r="Q37" s="239"/>
      <c r="R37" s="239"/>
      <c r="S37" s="240"/>
      <c r="T37" s="238"/>
      <c r="U37" s="239"/>
      <c r="V37" s="239"/>
      <c r="W37" s="240"/>
      <c r="X37" s="238"/>
      <c r="Y37" s="239"/>
      <c r="Z37" s="239"/>
      <c r="AA37" s="239"/>
      <c r="AB37" s="238"/>
      <c r="AC37" s="240"/>
      <c r="AD37" s="18"/>
      <c r="AE37" s="218">
        <v>1270.47</v>
      </c>
      <c r="AF37" s="220">
        <v>1281.29</v>
      </c>
      <c r="AG37" s="220">
        <v>1416.08</v>
      </c>
      <c r="AH37" s="220">
        <v>1529.46</v>
      </c>
      <c r="AI37" s="220">
        <v>1722.07</v>
      </c>
      <c r="AJ37" s="222">
        <v>1809.9</v>
      </c>
    </row>
    <row r="38" spans="1:36" ht="15">
      <c r="X38" s="5"/>
    </row>
    <row r="39" spans="1:36" ht="15">
      <c r="A39" s="1" t="s">
        <v>37</v>
      </c>
      <c r="B39" s="2"/>
      <c r="C39" s="2"/>
    </row>
    <row r="40" spans="1:36" ht="6" customHeight="1">
      <c r="A40" s="4"/>
    </row>
    <row r="41" spans="1:36" ht="9" customHeight="1">
      <c r="A41" s="5"/>
      <c r="B41" s="5"/>
      <c r="C41" s="5"/>
      <c r="D41" s="6"/>
      <c r="E41" s="5"/>
      <c r="F41" s="5"/>
      <c r="G41" s="7"/>
      <c r="H41" s="6"/>
      <c r="I41" s="5"/>
      <c r="J41" s="5"/>
      <c r="K41" s="7"/>
      <c r="L41" s="6"/>
      <c r="M41" s="5"/>
      <c r="N41" s="5"/>
      <c r="O41" s="7"/>
      <c r="P41" s="6"/>
      <c r="Q41" s="5"/>
      <c r="R41" s="5"/>
      <c r="S41" s="7"/>
      <c r="T41" s="6"/>
      <c r="U41" s="5"/>
      <c r="V41" s="5"/>
      <c r="W41" s="7"/>
      <c r="X41" s="6"/>
      <c r="Y41" s="5"/>
      <c r="Z41" s="5"/>
      <c r="AA41" s="5"/>
      <c r="AB41" s="325"/>
      <c r="AC41" s="334"/>
      <c r="AD41" s="204"/>
      <c r="AE41" s="6"/>
      <c r="AF41" s="5"/>
      <c r="AG41" s="5"/>
      <c r="AH41" s="5"/>
      <c r="AI41" s="5"/>
      <c r="AJ41" s="7"/>
    </row>
    <row r="42" spans="1:36" ht="15">
      <c r="D42" s="8" t="str">
        <f>D4</f>
        <v>FY2019</v>
      </c>
      <c r="E42" s="79"/>
      <c r="F42" s="79"/>
      <c r="G42" s="80"/>
      <c r="H42" s="8" t="str">
        <f>H4</f>
        <v>FY2020</v>
      </c>
      <c r="I42" s="79"/>
      <c r="J42" s="79"/>
      <c r="K42" s="80"/>
      <c r="L42" s="8" t="str">
        <f>L4</f>
        <v>FY2021</v>
      </c>
      <c r="M42" s="79"/>
      <c r="N42" s="79"/>
      <c r="O42" s="80"/>
      <c r="P42" s="8" t="str">
        <f>P4</f>
        <v>FY2022</v>
      </c>
      <c r="Q42" s="79"/>
      <c r="R42" s="79"/>
      <c r="S42" s="80"/>
      <c r="T42" s="8" t="str">
        <f>T4</f>
        <v>FY2023</v>
      </c>
      <c r="U42" s="260"/>
      <c r="V42" s="260"/>
      <c r="W42" s="289"/>
      <c r="X42" s="298" t="s">
        <v>205</v>
      </c>
      <c r="Y42" s="304"/>
      <c r="Z42" s="304"/>
      <c r="AA42" s="304"/>
      <c r="AB42" s="298" t="s">
        <v>207</v>
      </c>
      <c r="AC42" s="304"/>
      <c r="AD42" s="204"/>
      <c r="AE42" s="207" t="str">
        <f>AE4</f>
        <v>FY2019</v>
      </c>
      <c r="AF42" s="11" t="str">
        <f>AF4</f>
        <v>FY2020</v>
      </c>
      <c r="AG42" s="11" t="str">
        <f>AG4</f>
        <v>FY2021</v>
      </c>
      <c r="AH42" s="11" t="str">
        <f>AH4</f>
        <v>FY2022</v>
      </c>
      <c r="AI42" s="11" t="s">
        <v>203</v>
      </c>
      <c r="AJ42" s="208" t="s">
        <v>206</v>
      </c>
    </row>
    <row r="43" spans="1:36" ht="19.649999999999999" customHeight="1">
      <c r="A43" s="79"/>
      <c r="B43" s="79"/>
      <c r="C43" s="79"/>
      <c r="D43" s="12" t="s">
        <v>9</v>
      </c>
      <c r="E43" s="13" t="s">
        <v>10</v>
      </c>
      <c r="F43" s="13" t="s">
        <v>11</v>
      </c>
      <c r="G43" s="14" t="str">
        <f>G5</f>
        <v>Q4</v>
      </c>
      <c r="H43" s="12" t="s">
        <v>9</v>
      </c>
      <c r="I43" s="13" t="s">
        <v>10</v>
      </c>
      <c r="J43" s="13" t="str">
        <f>J5</f>
        <v>Q3</v>
      </c>
      <c r="K43" s="14" t="str">
        <f>K5</f>
        <v>Q4</v>
      </c>
      <c r="L43" s="12" t="s">
        <v>9</v>
      </c>
      <c r="M43" s="13" t="s">
        <v>10</v>
      </c>
      <c r="N43" s="13" t="s">
        <v>11</v>
      </c>
      <c r="O43" s="14" t="str">
        <f>O5</f>
        <v>Q4</v>
      </c>
      <c r="P43" s="12" t="s">
        <v>9</v>
      </c>
      <c r="Q43" s="13" t="s">
        <v>10</v>
      </c>
      <c r="R43" s="13" t="s">
        <v>11</v>
      </c>
      <c r="S43" s="14" t="str">
        <f>S5</f>
        <v>Q4</v>
      </c>
      <c r="T43" s="12" t="s">
        <v>9</v>
      </c>
      <c r="U43" s="13" t="s">
        <v>10</v>
      </c>
      <c r="V43" s="13" t="s">
        <v>202</v>
      </c>
      <c r="W43" s="271" t="s">
        <v>12</v>
      </c>
      <c r="X43" s="12" t="s">
        <v>9</v>
      </c>
      <c r="Y43" s="13" t="s">
        <v>10</v>
      </c>
      <c r="Z43" s="13" t="s">
        <v>11</v>
      </c>
      <c r="AA43" s="13" t="s">
        <v>12</v>
      </c>
      <c r="AB43" s="12" t="s">
        <v>9</v>
      </c>
      <c r="AC43" s="13" t="s">
        <v>10</v>
      </c>
      <c r="AD43" s="204"/>
      <c r="AE43" s="209"/>
      <c r="AF43" s="15"/>
      <c r="AG43" s="15"/>
      <c r="AH43" s="15"/>
      <c r="AI43" s="15"/>
      <c r="AJ43" s="210"/>
    </row>
    <row r="44" spans="1:36" ht="19.649999999999999" customHeight="1">
      <c r="A44" s="3" t="s">
        <v>14</v>
      </c>
      <c r="D44" s="36">
        <v>477605</v>
      </c>
      <c r="E44" s="25">
        <v>517174</v>
      </c>
      <c r="F44" s="25">
        <v>499103</v>
      </c>
      <c r="G44" s="26">
        <v>514698</v>
      </c>
      <c r="H44" s="36">
        <v>352325</v>
      </c>
      <c r="I44" s="25">
        <v>409623</v>
      </c>
      <c r="J44" s="25">
        <v>431123</v>
      </c>
      <c r="K44" s="26">
        <v>488998</v>
      </c>
      <c r="L44" s="36">
        <v>424804</v>
      </c>
      <c r="M44" s="25">
        <v>418659</v>
      </c>
      <c r="N44" s="25">
        <v>432732</v>
      </c>
      <c r="O44" s="26">
        <v>482392</v>
      </c>
      <c r="P44" s="36">
        <v>459341</v>
      </c>
      <c r="Q44" s="25">
        <v>514195</v>
      </c>
      <c r="R44" s="25">
        <v>555072</v>
      </c>
      <c r="S44" s="26">
        <v>605572</v>
      </c>
      <c r="T44" s="36">
        <v>534601</v>
      </c>
      <c r="U44" s="25">
        <v>577989</v>
      </c>
      <c r="V44" s="25">
        <v>585098</v>
      </c>
      <c r="W44" s="270">
        <v>651299</v>
      </c>
      <c r="X44" s="36">
        <v>574379</v>
      </c>
      <c r="Y44" s="37">
        <v>628209</v>
      </c>
      <c r="Z44" s="37">
        <v>632816</v>
      </c>
      <c r="AA44" s="37">
        <v>692472</v>
      </c>
      <c r="AB44" s="61">
        <v>580798</v>
      </c>
      <c r="AC44" s="27">
        <v>641653</v>
      </c>
      <c r="AD44" s="61"/>
      <c r="AE44" s="24">
        <v>2008580</v>
      </c>
      <c r="AF44" s="25">
        <v>1682069</v>
      </c>
      <c r="AG44" s="25">
        <v>1758587</v>
      </c>
      <c r="AH44" s="25">
        <v>2134180</v>
      </c>
      <c r="AI44" s="25">
        <v>2348987</v>
      </c>
      <c r="AJ44" s="26">
        <v>2527876</v>
      </c>
    </row>
    <row r="45" spans="1:36" ht="19.649999999999999" customHeight="1">
      <c r="A45" s="3" t="s">
        <v>38</v>
      </c>
      <c r="D45" s="24">
        <v>293196</v>
      </c>
      <c r="E45" s="25">
        <v>334210</v>
      </c>
      <c r="F45" s="25">
        <v>317128</v>
      </c>
      <c r="G45" s="26">
        <v>342469</v>
      </c>
      <c r="H45" s="24">
        <v>230252</v>
      </c>
      <c r="I45" s="25">
        <v>269279</v>
      </c>
      <c r="J45" s="25">
        <v>277823</v>
      </c>
      <c r="K45" s="26">
        <v>332408</v>
      </c>
      <c r="L45" s="24">
        <v>272441</v>
      </c>
      <c r="M45" s="25">
        <v>266064</v>
      </c>
      <c r="N45" s="25">
        <v>275831</v>
      </c>
      <c r="O45" s="26">
        <v>321584</v>
      </c>
      <c r="P45" s="24">
        <v>291336</v>
      </c>
      <c r="Q45" s="25">
        <v>335914</v>
      </c>
      <c r="R45" s="25">
        <v>362494</v>
      </c>
      <c r="S45" s="26">
        <v>399014</v>
      </c>
      <c r="T45" s="24">
        <v>344403</v>
      </c>
      <c r="U45" s="25">
        <v>381906</v>
      </c>
      <c r="V45" s="25">
        <v>374704</v>
      </c>
      <c r="W45" s="290">
        <v>427876</v>
      </c>
      <c r="X45" s="24">
        <v>367247</v>
      </c>
      <c r="Y45" s="25">
        <v>412057</v>
      </c>
      <c r="Z45" s="25">
        <v>415103</v>
      </c>
      <c r="AA45" s="25">
        <v>464861</v>
      </c>
      <c r="AB45" s="61">
        <v>373444</v>
      </c>
      <c r="AC45" s="27">
        <v>429226</v>
      </c>
      <c r="AD45" s="61"/>
      <c r="AE45" s="24">
        <v>1287003</v>
      </c>
      <c r="AF45" s="25">
        <v>1109762</v>
      </c>
      <c r="AG45" s="25">
        <v>1135920</v>
      </c>
      <c r="AH45" s="25">
        <v>1388758</v>
      </c>
      <c r="AI45" s="25">
        <v>1528889</v>
      </c>
      <c r="AJ45" s="26">
        <v>1659268</v>
      </c>
    </row>
    <row r="46" spans="1:36" ht="19.649999999999999" customHeight="1">
      <c r="A46" s="29" t="s">
        <v>39</v>
      </c>
      <c r="B46" s="29"/>
      <c r="C46" s="29"/>
      <c r="D46" s="30">
        <v>184409</v>
      </c>
      <c r="E46" s="31">
        <v>182964</v>
      </c>
      <c r="F46" s="31">
        <v>181975</v>
      </c>
      <c r="G46" s="32">
        <v>172229</v>
      </c>
      <c r="H46" s="30">
        <v>122073</v>
      </c>
      <c r="I46" s="31">
        <v>140344</v>
      </c>
      <c r="J46" s="31">
        <v>153300</v>
      </c>
      <c r="K46" s="32">
        <v>156590</v>
      </c>
      <c r="L46" s="30">
        <v>152363</v>
      </c>
      <c r="M46" s="31">
        <v>152595</v>
      </c>
      <c r="N46" s="31">
        <v>156901</v>
      </c>
      <c r="O46" s="32">
        <v>160808</v>
      </c>
      <c r="P46" s="30">
        <v>168005</v>
      </c>
      <c r="Q46" s="31">
        <v>178281</v>
      </c>
      <c r="R46" s="31">
        <v>192578</v>
      </c>
      <c r="S46" s="32">
        <v>206558</v>
      </c>
      <c r="T46" s="30">
        <v>190198</v>
      </c>
      <c r="U46" s="31">
        <f>U44-U45</f>
        <v>196083</v>
      </c>
      <c r="V46" s="31">
        <v>210394</v>
      </c>
      <c r="W46" s="274">
        <f>W44-W45</f>
        <v>223423</v>
      </c>
      <c r="X46" s="30">
        <v>207132</v>
      </c>
      <c r="Y46" s="31">
        <v>216152</v>
      </c>
      <c r="Z46" s="31">
        <v>217713</v>
      </c>
      <c r="AA46" s="31">
        <v>227611</v>
      </c>
      <c r="AB46" s="30">
        <f t="shared" ref="AB46:AC46" si="12">AB44-AB45</f>
        <v>207354</v>
      </c>
      <c r="AC46" s="31">
        <f t="shared" si="12"/>
        <v>212427</v>
      </c>
      <c r="AD46" s="61"/>
      <c r="AE46" s="30">
        <v>721577</v>
      </c>
      <c r="AF46" s="31">
        <v>572307</v>
      </c>
      <c r="AG46" s="31">
        <v>622667</v>
      </c>
      <c r="AH46" s="31">
        <v>745422</v>
      </c>
      <c r="AI46" s="31">
        <v>820098</v>
      </c>
      <c r="AJ46" s="32">
        <v>868608</v>
      </c>
    </row>
    <row r="47" spans="1:36" ht="19.649999999999999" customHeight="1">
      <c r="A47" s="3" t="s">
        <v>193</v>
      </c>
      <c r="D47" s="36">
        <v>161029</v>
      </c>
      <c r="E47" s="37">
        <v>162675</v>
      </c>
      <c r="F47" s="37">
        <v>163555</v>
      </c>
      <c r="G47" s="38">
        <v>171176</v>
      </c>
      <c r="H47" s="24">
        <v>144918</v>
      </c>
      <c r="I47" s="37">
        <v>150294</v>
      </c>
      <c r="J47" s="37">
        <v>151826</v>
      </c>
      <c r="K47" s="38">
        <v>172702</v>
      </c>
      <c r="L47" s="36">
        <v>150344</v>
      </c>
      <c r="M47" s="37">
        <v>146680</v>
      </c>
      <c r="N47" s="37">
        <v>153698</v>
      </c>
      <c r="O47" s="38">
        <v>149547</v>
      </c>
      <c r="P47" s="36">
        <v>159678</v>
      </c>
      <c r="Q47" s="37">
        <v>166842</v>
      </c>
      <c r="R47" s="37">
        <v>178031</v>
      </c>
      <c r="S47" s="38">
        <v>183605</v>
      </c>
      <c r="T47" s="36">
        <v>182009</v>
      </c>
      <c r="U47" s="37">
        <v>189816</v>
      </c>
      <c r="V47" s="37">
        <v>195781</v>
      </c>
      <c r="W47" s="270">
        <v>202204</v>
      </c>
      <c r="X47" s="36">
        <v>201577</v>
      </c>
      <c r="Y47" s="37">
        <v>217380</v>
      </c>
      <c r="Z47" s="37">
        <v>200475</v>
      </c>
      <c r="AA47" s="37">
        <v>199513</v>
      </c>
      <c r="AB47" s="61">
        <v>196984</v>
      </c>
      <c r="AC47" s="27">
        <v>190400</v>
      </c>
      <c r="AD47" s="61"/>
      <c r="AE47" s="24">
        <v>658435</v>
      </c>
      <c r="AF47" s="25">
        <v>619740</v>
      </c>
      <c r="AG47" s="25">
        <v>600269</v>
      </c>
      <c r="AH47" s="37">
        <v>688156</v>
      </c>
      <c r="AI47" s="25">
        <v>769810</v>
      </c>
      <c r="AJ47" s="26">
        <v>818945</v>
      </c>
    </row>
    <row r="48" spans="1:36" ht="19.649999999999999" customHeight="1">
      <c r="A48" s="3" t="s">
        <v>194</v>
      </c>
      <c r="D48" s="24">
        <v>4186</v>
      </c>
      <c r="E48" s="25">
        <v>793</v>
      </c>
      <c r="F48" s="25">
        <v>2347</v>
      </c>
      <c r="G48" s="26">
        <v>8585</v>
      </c>
      <c r="H48" s="24">
        <v>1573</v>
      </c>
      <c r="I48" s="25">
        <v>604</v>
      </c>
      <c r="J48" s="25">
        <v>2047</v>
      </c>
      <c r="K48" s="26">
        <v>1567</v>
      </c>
      <c r="L48" s="24">
        <v>3647</v>
      </c>
      <c r="M48" s="25">
        <v>1519</v>
      </c>
      <c r="N48" s="25">
        <v>9406</v>
      </c>
      <c r="O48" s="26">
        <v>3388</v>
      </c>
      <c r="P48" s="24">
        <v>1299</v>
      </c>
      <c r="Q48" s="25">
        <v>2383</v>
      </c>
      <c r="R48" s="25">
        <v>1613</v>
      </c>
      <c r="S48" s="26">
        <v>16249</v>
      </c>
      <c r="T48" s="24">
        <v>1982</v>
      </c>
      <c r="U48" s="25">
        <v>3123</v>
      </c>
      <c r="V48" s="25">
        <v>2984</v>
      </c>
      <c r="W48" s="290">
        <v>4265</v>
      </c>
      <c r="X48" s="24">
        <v>777</v>
      </c>
      <c r="Y48" s="25">
        <v>1705</v>
      </c>
      <c r="Z48" s="25">
        <v>10509</v>
      </c>
      <c r="AA48" s="25">
        <v>2486</v>
      </c>
      <c r="AB48" s="61">
        <v>2272</v>
      </c>
      <c r="AC48" s="27">
        <v>779</v>
      </c>
      <c r="AD48" s="61"/>
      <c r="AE48" s="24">
        <v>15911</v>
      </c>
      <c r="AF48" s="25">
        <v>5791</v>
      </c>
      <c r="AG48" s="25">
        <v>17960</v>
      </c>
      <c r="AH48" s="25">
        <v>21544</v>
      </c>
      <c r="AI48" s="25">
        <v>12354</v>
      </c>
      <c r="AJ48" s="26">
        <v>15477</v>
      </c>
    </row>
    <row r="49" spans="1:36" ht="19.649999999999999" customHeight="1">
      <c r="A49" s="3" t="s">
        <v>195</v>
      </c>
      <c r="D49" s="24"/>
      <c r="E49" s="25"/>
      <c r="F49" s="25"/>
      <c r="G49" s="26">
        <v>13</v>
      </c>
      <c r="H49" s="24"/>
      <c r="I49" s="25"/>
      <c r="J49" s="25">
        <v>2641</v>
      </c>
      <c r="K49" s="26">
        <v>1146</v>
      </c>
      <c r="L49" s="24"/>
      <c r="M49" s="25"/>
      <c r="N49" s="25"/>
      <c r="O49" s="26">
        <v>306</v>
      </c>
      <c r="P49" s="24"/>
      <c r="Q49" s="25"/>
      <c r="R49" s="25"/>
      <c r="S49" s="26">
        <v>70</v>
      </c>
      <c r="T49" s="24"/>
      <c r="U49" s="25"/>
      <c r="V49" s="25"/>
      <c r="W49" s="280">
        <v>619</v>
      </c>
      <c r="X49" s="24">
        <v>0</v>
      </c>
      <c r="Y49" s="25">
        <v>0</v>
      </c>
      <c r="Z49" s="25">
        <v>0</v>
      </c>
      <c r="AA49" s="25">
        <v>1311</v>
      </c>
      <c r="AB49" s="24"/>
      <c r="AC49" s="25"/>
      <c r="AD49" s="61"/>
      <c r="AE49" s="24">
        <v>13</v>
      </c>
      <c r="AF49" s="25">
        <v>3787</v>
      </c>
      <c r="AG49" s="25">
        <v>306</v>
      </c>
      <c r="AH49" s="25">
        <v>70</v>
      </c>
      <c r="AI49" s="25">
        <v>619</v>
      </c>
      <c r="AJ49" s="26">
        <v>1311</v>
      </c>
    </row>
    <row r="50" spans="1:36" ht="19.2" customHeight="1">
      <c r="A50" s="29" t="s">
        <v>15</v>
      </c>
      <c r="B50" s="29"/>
      <c r="C50" s="29"/>
      <c r="D50" s="30">
        <v>27566</v>
      </c>
      <c r="E50" s="31">
        <v>21082</v>
      </c>
      <c r="F50" s="31">
        <v>20767</v>
      </c>
      <c r="G50" s="32">
        <v>9625</v>
      </c>
      <c r="H50" s="30">
        <v>-21272</v>
      </c>
      <c r="I50" s="31">
        <v>-9346</v>
      </c>
      <c r="J50" s="31">
        <v>880</v>
      </c>
      <c r="K50" s="32">
        <v>-15691</v>
      </c>
      <c r="L50" s="30">
        <v>5666</v>
      </c>
      <c r="M50" s="31">
        <v>7434</v>
      </c>
      <c r="N50" s="31">
        <v>12609</v>
      </c>
      <c r="O50" s="32">
        <v>14343</v>
      </c>
      <c r="P50" s="30">
        <v>9626</v>
      </c>
      <c r="Q50" s="31">
        <v>13822</v>
      </c>
      <c r="R50" s="31">
        <v>16160</v>
      </c>
      <c r="S50" s="32">
        <v>39132</v>
      </c>
      <c r="T50" s="30">
        <v>10171</v>
      </c>
      <c r="U50" s="31">
        <v>9390</v>
      </c>
      <c r="V50" s="31">
        <v>17597</v>
      </c>
      <c r="W50" s="274">
        <v>24865</v>
      </c>
      <c r="X50" s="30">
        <v>6332</v>
      </c>
      <c r="Y50" s="31">
        <v>477</v>
      </c>
      <c r="Z50" s="31">
        <v>27747</v>
      </c>
      <c r="AA50" s="31">
        <v>29273</v>
      </c>
      <c r="AB50" s="30">
        <v>12642</v>
      </c>
      <c r="AC50" s="31">
        <v>22806</v>
      </c>
      <c r="AD50" s="61"/>
      <c r="AE50" s="30">
        <v>79040</v>
      </c>
      <c r="AF50" s="31">
        <v>-45429</v>
      </c>
      <c r="AG50" s="31">
        <v>40052</v>
      </c>
      <c r="AH50" s="31">
        <v>78740</v>
      </c>
      <c r="AI50" s="31">
        <v>62023</v>
      </c>
      <c r="AJ50" s="32">
        <v>63829</v>
      </c>
    </row>
    <row r="51" spans="1:36" ht="19.649999999999999" customHeight="1">
      <c r="B51" s="3" t="s">
        <v>41</v>
      </c>
      <c r="D51" s="24">
        <v>1635</v>
      </c>
      <c r="E51" s="25">
        <v>1265</v>
      </c>
      <c r="F51" s="25">
        <v>1461</v>
      </c>
      <c r="G51" s="26">
        <v>565</v>
      </c>
      <c r="H51" s="24">
        <v>838</v>
      </c>
      <c r="I51" s="25">
        <v>2045</v>
      </c>
      <c r="J51" s="25">
        <v>2308</v>
      </c>
      <c r="K51" s="26">
        <v>619</v>
      </c>
      <c r="L51" s="24">
        <v>1071</v>
      </c>
      <c r="M51" s="25">
        <v>411</v>
      </c>
      <c r="N51" s="25">
        <v>1335</v>
      </c>
      <c r="O51" s="26">
        <v>1205</v>
      </c>
      <c r="P51" s="24">
        <v>603</v>
      </c>
      <c r="Q51" s="25">
        <v>744</v>
      </c>
      <c r="R51" s="25">
        <v>1460</v>
      </c>
      <c r="S51" s="26">
        <v>1715</v>
      </c>
      <c r="T51" s="24">
        <v>3302</v>
      </c>
      <c r="U51" s="25">
        <v>4945</v>
      </c>
      <c r="V51" s="25">
        <v>592</v>
      </c>
      <c r="W51" s="280">
        <v>2949</v>
      </c>
      <c r="X51" s="24">
        <v>4302</v>
      </c>
      <c r="Y51" s="25">
        <v>1923</v>
      </c>
      <c r="Z51" s="25">
        <v>462</v>
      </c>
      <c r="AA51" s="25">
        <v>4350</v>
      </c>
      <c r="AB51" s="24">
        <v>2243</v>
      </c>
      <c r="AC51" s="25">
        <v>661</v>
      </c>
      <c r="AD51" s="61"/>
      <c r="AE51" s="24">
        <v>4926</v>
      </c>
      <c r="AF51" s="25">
        <v>4373</v>
      </c>
      <c r="AG51" s="25">
        <v>2532</v>
      </c>
      <c r="AH51" s="25">
        <v>4522</v>
      </c>
      <c r="AI51" s="25">
        <v>9473</v>
      </c>
      <c r="AJ51" s="26">
        <v>11037</v>
      </c>
    </row>
    <row r="52" spans="1:36" ht="19.649999999999999" customHeight="1">
      <c r="B52" s="3" t="s">
        <v>42</v>
      </c>
      <c r="D52" s="24">
        <v>3063</v>
      </c>
      <c r="E52" s="25">
        <v>1741</v>
      </c>
      <c r="F52" s="25">
        <v>747</v>
      </c>
      <c r="G52" s="26">
        <v>2768</v>
      </c>
      <c r="H52" s="24">
        <v>2668</v>
      </c>
      <c r="I52" s="25">
        <v>959</v>
      </c>
      <c r="J52" s="25">
        <v>874</v>
      </c>
      <c r="K52" s="26">
        <v>553</v>
      </c>
      <c r="L52" s="24">
        <v>882</v>
      </c>
      <c r="M52" s="25">
        <v>1455</v>
      </c>
      <c r="N52" s="25">
        <v>960</v>
      </c>
      <c r="O52" s="26">
        <v>1993</v>
      </c>
      <c r="P52" s="24">
        <v>1091</v>
      </c>
      <c r="Q52" s="25">
        <v>2991</v>
      </c>
      <c r="R52" s="25">
        <v>1698</v>
      </c>
      <c r="S52" s="26">
        <v>2325</v>
      </c>
      <c r="T52" s="24">
        <v>1793</v>
      </c>
      <c r="U52" s="25">
        <v>4791</v>
      </c>
      <c r="V52" s="25">
        <v>1865</v>
      </c>
      <c r="W52" s="280">
        <v>2763</v>
      </c>
      <c r="X52" s="24">
        <v>2483</v>
      </c>
      <c r="Y52" s="25">
        <v>1091</v>
      </c>
      <c r="Z52" s="25">
        <v>2643</v>
      </c>
      <c r="AA52" s="25">
        <v>4310</v>
      </c>
      <c r="AB52" s="24">
        <v>1932</v>
      </c>
      <c r="AC52" s="25">
        <v>2348</v>
      </c>
      <c r="AD52" s="61"/>
      <c r="AE52" s="24">
        <v>8319</v>
      </c>
      <c r="AF52" s="25">
        <v>3617</v>
      </c>
      <c r="AG52" s="25">
        <v>3800</v>
      </c>
      <c r="AH52" s="25">
        <v>8105</v>
      </c>
      <c r="AI52" s="25">
        <v>8897</v>
      </c>
      <c r="AJ52" s="26">
        <v>10527</v>
      </c>
    </row>
    <row r="53" spans="1:36" ht="19.649999999999999" customHeight="1">
      <c r="A53" s="339" t="s">
        <v>196</v>
      </c>
      <c r="B53" s="340"/>
      <c r="C53" s="341"/>
      <c r="D53" s="24">
        <v>-62</v>
      </c>
      <c r="E53" s="25">
        <v>164</v>
      </c>
      <c r="F53" s="25">
        <v>141</v>
      </c>
      <c r="G53" s="26">
        <v>1</v>
      </c>
      <c r="H53" s="24">
        <v>490</v>
      </c>
      <c r="I53" s="25">
        <v>1364</v>
      </c>
      <c r="J53" s="25">
        <v>1580</v>
      </c>
      <c r="K53" s="26">
        <v>211</v>
      </c>
      <c r="L53" s="24">
        <v>1827</v>
      </c>
      <c r="M53" s="25">
        <v>1902</v>
      </c>
      <c r="N53" s="25">
        <v>1745</v>
      </c>
      <c r="O53" s="26">
        <v>130</v>
      </c>
      <c r="P53" s="24">
        <v>2063</v>
      </c>
      <c r="Q53" s="25">
        <v>1828</v>
      </c>
      <c r="R53" s="25">
        <v>1795</v>
      </c>
      <c r="S53" s="26">
        <v>465</v>
      </c>
      <c r="T53" s="24">
        <v>1654</v>
      </c>
      <c r="U53" s="25">
        <v>1751</v>
      </c>
      <c r="V53" s="25">
        <v>1731</v>
      </c>
      <c r="W53" s="280">
        <v>467</v>
      </c>
      <c r="X53" s="98">
        <v>1693</v>
      </c>
      <c r="Y53" s="88">
        <v>2014</v>
      </c>
      <c r="Z53" s="88">
        <v>1696</v>
      </c>
      <c r="AA53" s="88">
        <v>325</v>
      </c>
      <c r="AB53" s="24">
        <v>1862</v>
      </c>
      <c r="AC53" s="25">
        <v>1470</v>
      </c>
      <c r="AD53" s="61"/>
      <c r="AE53" s="24">
        <v>244</v>
      </c>
      <c r="AF53" s="25">
        <v>3645</v>
      </c>
      <c r="AG53" s="25">
        <v>5604</v>
      </c>
      <c r="AH53" s="25">
        <v>6151</v>
      </c>
      <c r="AI53" s="25">
        <v>5603</v>
      </c>
      <c r="AJ53" s="26"/>
    </row>
    <row r="54" spans="1:36" ht="19.649999999999999" customHeight="1">
      <c r="A54" s="29" t="s">
        <v>45</v>
      </c>
      <c r="B54" s="29"/>
      <c r="C54" s="29"/>
      <c r="D54" s="30">
        <v>26076</v>
      </c>
      <c r="E54" s="31">
        <v>20770</v>
      </c>
      <c r="F54" s="31">
        <v>21622</v>
      </c>
      <c r="G54" s="32">
        <v>7423</v>
      </c>
      <c r="H54" s="30">
        <v>-22612</v>
      </c>
      <c r="I54" s="31">
        <v>-6896</v>
      </c>
      <c r="J54" s="31">
        <v>3894</v>
      </c>
      <c r="K54" s="32">
        <v>-15414</v>
      </c>
      <c r="L54" s="30">
        <v>7682</v>
      </c>
      <c r="M54" s="31">
        <v>8292</v>
      </c>
      <c r="N54" s="31">
        <v>14729</v>
      </c>
      <c r="O54" s="32">
        <v>13685</v>
      </c>
      <c r="P54" s="30">
        <v>11201</v>
      </c>
      <c r="Q54" s="31">
        <v>13403</v>
      </c>
      <c r="R54" s="31">
        <v>17717</v>
      </c>
      <c r="S54" s="32">
        <v>38987</v>
      </c>
      <c r="T54" s="30">
        <v>13334</v>
      </c>
      <c r="U54" s="31">
        <v>11295</v>
      </c>
      <c r="V54" s="31">
        <v>18055</v>
      </c>
      <c r="W54" s="274">
        <v>25518</v>
      </c>
      <c r="X54" s="30">
        <v>9844</v>
      </c>
      <c r="Y54" s="31">
        <v>3323</v>
      </c>
      <c r="Z54" s="31">
        <v>27262</v>
      </c>
      <c r="AA54" s="31">
        <v>29638</v>
      </c>
      <c r="AB54" s="30">
        <v>14815</v>
      </c>
      <c r="AC54" s="31">
        <v>22589</v>
      </c>
      <c r="AD54" s="61"/>
      <c r="AE54" s="30">
        <v>75891</v>
      </c>
      <c r="AF54" s="31">
        <v>-41028</v>
      </c>
      <c r="AG54" s="31">
        <v>44388</v>
      </c>
      <c r="AH54" s="31">
        <v>81308</v>
      </c>
      <c r="AI54" s="31">
        <v>68202</v>
      </c>
      <c r="AJ54" s="32">
        <v>70067</v>
      </c>
    </row>
    <row r="55" spans="1:36" ht="19.649999999999999" customHeight="1">
      <c r="A55" s="3" t="s">
        <v>197</v>
      </c>
      <c r="D55" s="30">
        <v>8833</v>
      </c>
      <c r="E55" s="31">
        <v>5801</v>
      </c>
      <c r="F55" s="31">
        <v>7741</v>
      </c>
      <c r="G55" s="32">
        <v>9103</v>
      </c>
      <c r="H55" s="30">
        <v>-3949</v>
      </c>
      <c r="I55" s="31">
        <v>-3378</v>
      </c>
      <c r="J55" s="31">
        <v>4187</v>
      </c>
      <c r="K55" s="32">
        <v>-5224</v>
      </c>
      <c r="L55" s="30">
        <v>2846</v>
      </c>
      <c r="M55" s="31">
        <v>1866</v>
      </c>
      <c r="N55" s="31">
        <v>2662</v>
      </c>
      <c r="O55" s="32">
        <v>6389</v>
      </c>
      <c r="P55" s="30">
        <v>3579</v>
      </c>
      <c r="Q55" s="31">
        <v>5683</v>
      </c>
      <c r="R55" s="31">
        <v>4805</v>
      </c>
      <c r="S55" s="32">
        <v>11600</v>
      </c>
      <c r="T55" s="30">
        <v>4755</v>
      </c>
      <c r="U55" s="31">
        <v>4549</v>
      </c>
      <c r="V55" s="31">
        <v>3193</v>
      </c>
      <c r="W55" s="274">
        <v>11463</v>
      </c>
      <c r="X55" s="30">
        <v>2397</v>
      </c>
      <c r="Y55" s="31">
        <v>1425</v>
      </c>
      <c r="Z55" s="31">
        <v>8049</v>
      </c>
      <c r="AA55" s="31">
        <v>12113</v>
      </c>
      <c r="AB55" s="30">
        <v>4578</v>
      </c>
      <c r="AC55" s="31">
        <v>7102</v>
      </c>
      <c r="AD55" s="61"/>
      <c r="AE55" s="30">
        <v>31478</v>
      </c>
      <c r="AF55" s="31">
        <v>-8364</v>
      </c>
      <c r="AG55" s="31">
        <v>13763</v>
      </c>
      <c r="AH55" s="31">
        <v>25667</v>
      </c>
      <c r="AI55" s="31">
        <v>23960</v>
      </c>
      <c r="AJ55" s="32">
        <v>23984</v>
      </c>
    </row>
    <row r="56" spans="1:36" ht="19.649999999999999" customHeight="1">
      <c r="A56" s="29" t="s">
        <v>47</v>
      </c>
      <c r="B56" s="29"/>
      <c r="C56" s="29"/>
      <c r="D56" s="30">
        <v>1619</v>
      </c>
      <c r="E56" s="31">
        <v>1335</v>
      </c>
      <c r="F56" s="31">
        <v>1670</v>
      </c>
      <c r="G56" s="32">
        <v>243</v>
      </c>
      <c r="H56" s="30">
        <v>-4</v>
      </c>
      <c r="I56" s="31">
        <v>18</v>
      </c>
      <c r="J56" s="31">
        <v>-17</v>
      </c>
      <c r="K56" s="32">
        <v>69</v>
      </c>
      <c r="L56" s="30">
        <v>49</v>
      </c>
      <c r="M56" s="31">
        <v>56</v>
      </c>
      <c r="N56" s="31">
        <v>38</v>
      </c>
      <c r="O56" s="32">
        <v>111</v>
      </c>
      <c r="P56" s="30">
        <v>31</v>
      </c>
      <c r="Q56" s="31">
        <v>397</v>
      </c>
      <c r="R56" s="31">
        <v>388</v>
      </c>
      <c r="S56" s="32">
        <v>458</v>
      </c>
      <c r="T56" s="30">
        <v>-216</v>
      </c>
      <c r="U56" s="31">
        <v>-73</v>
      </c>
      <c r="V56" s="31">
        <v>199</v>
      </c>
      <c r="W56" s="274">
        <v>156</v>
      </c>
      <c r="X56" s="30">
        <v>-351</v>
      </c>
      <c r="Y56" s="31">
        <v>428</v>
      </c>
      <c r="Z56" s="31">
        <v>627</v>
      </c>
      <c r="AA56" s="31">
        <v>-330</v>
      </c>
      <c r="AB56" s="30">
        <v>582</v>
      </c>
      <c r="AC56" s="31">
        <v>565</v>
      </c>
      <c r="AD56" s="61"/>
      <c r="AE56" s="30">
        <v>4867</v>
      </c>
      <c r="AF56" s="31">
        <v>66</v>
      </c>
      <c r="AG56" s="31">
        <v>254</v>
      </c>
      <c r="AH56" s="31">
        <v>1274</v>
      </c>
      <c r="AI56" s="31">
        <v>66</v>
      </c>
      <c r="AJ56" s="32">
        <v>374</v>
      </c>
    </row>
    <row r="57" spans="1:36" ht="19.649999999999999" customHeight="1" thickBot="1">
      <c r="A57" s="89" t="s">
        <v>48</v>
      </c>
      <c r="B57" s="89"/>
      <c r="C57" s="89"/>
      <c r="D57" s="90">
        <v>15624</v>
      </c>
      <c r="E57" s="91">
        <v>13634</v>
      </c>
      <c r="F57" s="91">
        <v>12211</v>
      </c>
      <c r="G57" s="92">
        <v>-1923</v>
      </c>
      <c r="H57" s="90">
        <v>-18659</v>
      </c>
      <c r="I57" s="91">
        <v>-3536</v>
      </c>
      <c r="J57" s="91">
        <v>-276</v>
      </c>
      <c r="K57" s="92">
        <v>-10259</v>
      </c>
      <c r="L57" s="90">
        <v>4787</v>
      </c>
      <c r="M57" s="91">
        <v>6370</v>
      </c>
      <c r="N57" s="91">
        <v>12029</v>
      </c>
      <c r="O57" s="92">
        <v>7185</v>
      </c>
      <c r="P57" s="90">
        <v>7591</v>
      </c>
      <c r="Q57" s="91">
        <v>7323</v>
      </c>
      <c r="R57" s="91">
        <v>12524</v>
      </c>
      <c r="S57" s="92">
        <v>26929</v>
      </c>
      <c r="T57" s="90">
        <v>8795</v>
      </c>
      <c r="U57" s="91">
        <f>U54-U55-U56</f>
        <v>6819</v>
      </c>
      <c r="V57" s="91">
        <v>14663</v>
      </c>
      <c r="W57" s="286">
        <f>W54-W55-W56</f>
        <v>13899</v>
      </c>
      <c r="X57" s="90">
        <v>7798</v>
      </c>
      <c r="Y57" s="91">
        <v>1470</v>
      </c>
      <c r="Z57" s="91">
        <v>18586</v>
      </c>
      <c r="AA57" s="91">
        <v>17855</v>
      </c>
      <c r="AB57" s="90">
        <f t="shared" ref="AB57" si="13">AB54-AB55-AB56</f>
        <v>9655</v>
      </c>
      <c r="AC57" s="91">
        <v>14922</v>
      </c>
      <c r="AD57" s="61"/>
      <c r="AE57" s="90">
        <v>39546</v>
      </c>
      <c r="AF57" s="91">
        <v>-32730</v>
      </c>
      <c r="AG57" s="91">
        <v>30371</v>
      </c>
      <c r="AH57" s="91">
        <v>54367</v>
      </c>
      <c r="AI57" s="91">
        <v>44176</v>
      </c>
      <c r="AJ57" s="92">
        <v>45709</v>
      </c>
    </row>
    <row r="58" spans="1:36" ht="15"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E58" s="93"/>
      <c r="AF58" s="93"/>
      <c r="AG58" s="93"/>
      <c r="AH58" s="93"/>
      <c r="AI58" s="93"/>
      <c r="AJ58" s="93"/>
    </row>
    <row r="59" spans="1:36" s="4" customFormat="1" ht="15">
      <c r="A59" s="1" t="s">
        <v>49</v>
      </c>
      <c r="B59" s="1"/>
      <c r="C59" s="1"/>
    </row>
    <row r="60" spans="1:36" ht="6" customHeight="1"/>
    <row r="61" spans="1:36" ht="9" customHeight="1">
      <c r="A61" s="5"/>
      <c r="B61" s="5"/>
      <c r="C61" s="5"/>
      <c r="D61" s="6"/>
      <c r="E61" s="5"/>
      <c r="F61" s="5"/>
      <c r="G61" s="5"/>
      <c r="H61" s="6"/>
      <c r="I61" s="5"/>
      <c r="J61" s="5"/>
      <c r="K61" s="7"/>
      <c r="L61" s="6"/>
      <c r="M61" s="5"/>
      <c r="N61" s="5"/>
      <c r="O61" s="7"/>
      <c r="P61" s="6"/>
      <c r="Q61" s="5"/>
      <c r="R61" s="5"/>
      <c r="S61" s="7"/>
      <c r="T61" s="6"/>
      <c r="U61" s="5"/>
      <c r="V61" s="5"/>
      <c r="W61" s="7"/>
      <c r="X61" s="6"/>
      <c r="Y61" s="5"/>
      <c r="Z61" s="5"/>
      <c r="AA61" s="5"/>
      <c r="AB61" s="325"/>
      <c r="AC61" s="334"/>
      <c r="AD61" s="204"/>
      <c r="AE61" s="6"/>
      <c r="AF61" s="5"/>
      <c r="AG61" s="5"/>
      <c r="AH61" s="5"/>
      <c r="AI61" s="5"/>
      <c r="AJ61" s="7"/>
    </row>
    <row r="62" spans="1:36" ht="15">
      <c r="D62" s="8" t="str">
        <f>D4</f>
        <v>FY2019</v>
      </c>
      <c r="E62" s="79"/>
      <c r="F62" s="79"/>
      <c r="G62" s="79"/>
      <c r="H62" s="8" t="str">
        <f>H4</f>
        <v>FY2020</v>
      </c>
      <c r="I62" s="79"/>
      <c r="J62" s="79"/>
      <c r="K62" s="80"/>
      <c r="L62" s="8" t="str">
        <f>L4</f>
        <v>FY2021</v>
      </c>
      <c r="M62" s="79"/>
      <c r="N62" s="79"/>
      <c r="O62" s="80"/>
      <c r="P62" s="8" t="str">
        <f>P4</f>
        <v>FY2022</v>
      </c>
      <c r="Q62" s="79"/>
      <c r="R62" s="79"/>
      <c r="S62" s="80"/>
      <c r="T62" s="8" t="str">
        <f>T4</f>
        <v>FY2023</v>
      </c>
      <c r="U62" s="9"/>
      <c r="V62" s="9"/>
      <c r="W62" s="10"/>
      <c r="X62" s="298" t="s">
        <v>205</v>
      </c>
      <c r="Y62" s="304"/>
      <c r="Z62" s="304"/>
      <c r="AA62" s="304"/>
      <c r="AB62" s="298" t="s">
        <v>207</v>
      </c>
      <c r="AC62" s="304"/>
      <c r="AD62" s="204"/>
      <c r="AE62" s="207" t="str">
        <f>AE4</f>
        <v>FY2019</v>
      </c>
      <c r="AF62" s="11" t="str">
        <f>AF4</f>
        <v>FY2020</v>
      </c>
      <c r="AG62" s="11" t="str">
        <f>AG4</f>
        <v>FY2021</v>
      </c>
      <c r="AH62" s="11" t="str">
        <f>AH4</f>
        <v>FY2022</v>
      </c>
      <c r="AI62" s="11" t="s">
        <v>203</v>
      </c>
      <c r="AJ62" s="208" t="s">
        <v>206</v>
      </c>
    </row>
    <row r="63" spans="1:36" ht="27.15" customHeight="1">
      <c r="A63" s="79" t="s">
        <v>50</v>
      </c>
      <c r="B63" s="79"/>
      <c r="C63" s="94"/>
      <c r="D63" s="12" t="s">
        <v>9</v>
      </c>
      <c r="E63" s="13" t="s">
        <v>10</v>
      </c>
      <c r="F63" s="13" t="s">
        <v>11</v>
      </c>
      <c r="G63" s="13" t="str">
        <f>G5</f>
        <v>Q4</v>
      </c>
      <c r="H63" s="12" t="s">
        <v>9</v>
      </c>
      <c r="I63" s="13" t="s">
        <v>10</v>
      </c>
      <c r="J63" s="13" t="str">
        <f>J5</f>
        <v>Q3</v>
      </c>
      <c r="K63" s="14" t="str">
        <f>K5</f>
        <v>Q4</v>
      </c>
      <c r="L63" s="12" t="s">
        <v>9</v>
      </c>
      <c r="M63" s="13" t="s">
        <v>10</v>
      </c>
      <c r="N63" s="13" t="s">
        <v>11</v>
      </c>
      <c r="O63" s="14" t="str">
        <f>O5</f>
        <v>Q4</v>
      </c>
      <c r="P63" s="12" t="s">
        <v>9</v>
      </c>
      <c r="Q63" s="13" t="s">
        <v>10</v>
      </c>
      <c r="R63" s="13" t="s">
        <v>11</v>
      </c>
      <c r="S63" s="14" t="str">
        <f>S5</f>
        <v>Q4</v>
      </c>
      <c r="T63" s="12" t="s">
        <v>9</v>
      </c>
      <c r="U63" s="13" t="s">
        <v>10</v>
      </c>
      <c r="V63" s="13" t="s">
        <v>11</v>
      </c>
      <c r="W63" s="271" t="s">
        <v>12</v>
      </c>
      <c r="X63" s="12" t="s">
        <v>9</v>
      </c>
      <c r="Y63" s="13" t="s">
        <v>10</v>
      </c>
      <c r="Z63" s="13" t="s">
        <v>11</v>
      </c>
      <c r="AA63" s="13" t="s">
        <v>12</v>
      </c>
      <c r="AB63" s="12" t="s">
        <v>9</v>
      </c>
      <c r="AC63" s="13" t="s">
        <v>10</v>
      </c>
      <c r="AD63" s="204"/>
      <c r="AE63" s="209"/>
      <c r="AF63" s="15"/>
      <c r="AG63" s="15"/>
      <c r="AH63" s="15"/>
      <c r="AI63" s="15"/>
      <c r="AJ63" s="210"/>
    </row>
    <row r="64" spans="1:36" ht="19.649999999999999" customHeight="1">
      <c r="B64" s="3" t="s">
        <v>51</v>
      </c>
      <c r="D64" s="24">
        <v>234039</v>
      </c>
      <c r="E64" s="25">
        <v>245911</v>
      </c>
      <c r="F64" s="25">
        <v>229248</v>
      </c>
      <c r="G64" s="25">
        <v>262834</v>
      </c>
      <c r="H64" s="24">
        <v>320015</v>
      </c>
      <c r="I64" s="25">
        <v>337040</v>
      </c>
      <c r="J64" s="25">
        <v>328562</v>
      </c>
      <c r="K64" s="26">
        <v>334810</v>
      </c>
      <c r="L64" s="24">
        <v>328670</v>
      </c>
      <c r="M64" s="25">
        <v>275814</v>
      </c>
      <c r="N64" s="25">
        <v>224590</v>
      </c>
      <c r="O64" s="26">
        <v>240308</v>
      </c>
      <c r="P64" s="24">
        <v>252181</v>
      </c>
      <c r="Q64" s="25">
        <v>214647</v>
      </c>
      <c r="R64" s="25">
        <v>193324</v>
      </c>
      <c r="S64" s="26">
        <v>221890</v>
      </c>
      <c r="T64" s="24">
        <v>192464</v>
      </c>
      <c r="U64" s="25">
        <v>162384</v>
      </c>
      <c r="V64" s="25">
        <v>181548</v>
      </c>
      <c r="W64" s="280">
        <v>177050</v>
      </c>
      <c r="X64" s="24">
        <v>184437</v>
      </c>
      <c r="Y64" s="25">
        <v>204993</v>
      </c>
      <c r="Z64" s="25">
        <v>185810</v>
      </c>
      <c r="AA64" s="25">
        <v>190657</v>
      </c>
      <c r="AB64" s="24">
        <v>158081</v>
      </c>
      <c r="AC64" s="38">
        <v>176998</v>
      </c>
      <c r="AD64" s="61"/>
      <c r="AE64" s="24">
        <f t="shared" ref="AE64:AE78" si="14">G64</f>
        <v>262834</v>
      </c>
      <c r="AF64" s="25">
        <f t="shared" ref="AF64:AF69" si="15">K64</f>
        <v>334810</v>
      </c>
      <c r="AG64" s="25">
        <v>240308</v>
      </c>
      <c r="AH64" s="25">
        <f t="shared" ref="AH64:AH69" si="16">S64</f>
        <v>221890</v>
      </c>
      <c r="AI64" s="266">
        <f t="shared" ref="AI64:AI78" si="17">W64</f>
        <v>177050</v>
      </c>
      <c r="AJ64" s="280">
        <v>190657</v>
      </c>
    </row>
    <row r="65" spans="1:36" ht="19.649999999999999" customHeight="1">
      <c r="B65" s="3" t="s">
        <v>52</v>
      </c>
      <c r="D65" s="24">
        <v>85</v>
      </c>
      <c r="E65" s="25">
        <v>53</v>
      </c>
      <c r="F65" s="25">
        <v>64</v>
      </c>
      <c r="G65" s="25">
        <v>50</v>
      </c>
      <c r="H65" s="24">
        <v>62</v>
      </c>
      <c r="I65" s="25">
        <v>137</v>
      </c>
      <c r="J65" s="25">
        <v>146</v>
      </c>
      <c r="K65" s="26">
        <v>238</v>
      </c>
      <c r="L65" s="24">
        <v>275</v>
      </c>
      <c r="M65" s="25">
        <v>270</v>
      </c>
      <c r="N65" s="25">
        <v>202</v>
      </c>
      <c r="O65" s="26">
        <v>81</v>
      </c>
      <c r="P65" s="24">
        <v>88</v>
      </c>
      <c r="Q65" s="25">
        <v>109</v>
      </c>
      <c r="R65" s="25">
        <v>122</v>
      </c>
      <c r="S65" s="26">
        <v>207</v>
      </c>
      <c r="T65" s="24">
        <v>238</v>
      </c>
      <c r="U65" s="25">
        <v>222</v>
      </c>
      <c r="V65" s="25">
        <v>249</v>
      </c>
      <c r="W65" s="280">
        <v>271</v>
      </c>
      <c r="X65" s="24">
        <v>250</v>
      </c>
      <c r="Y65" s="25">
        <v>1591</v>
      </c>
      <c r="Z65" s="25">
        <v>1650</v>
      </c>
      <c r="AA65" s="25">
        <v>1638</v>
      </c>
      <c r="AB65" s="24">
        <v>1807</v>
      </c>
      <c r="AC65" s="26">
        <v>1811</v>
      </c>
      <c r="AD65" s="61"/>
      <c r="AE65" s="24">
        <f t="shared" si="14"/>
        <v>50</v>
      </c>
      <c r="AF65" s="25">
        <f t="shared" si="15"/>
        <v>238</v>
      </c>
      <c r="AG65" s="25">
        <v>81</v>
      </c>
      <c r="AH65" s="25">
        <f t="shared" si="16"/>
        <v>207</v>
      </c>
      <c r="AI65" s="266">
        <f t="shared" si="17"/>
        <v>271</v>
      </c>
      <c r="AJ65" s="280">
        <v>1638</v>
      </c>
    </row>
    <row r="66" spans="1:36" ht="19.649999999999999" customHeight="1">
      <c r="B66" s="3" t="s">
        <v>53</v>
      </c>
      <c r="D66" s="24">
        <v>572318</v>
      </c>
      <c r="E66" s="25">
        <v>592104</v>
      </c>
      <c r="F66" s="25">
        <v>584298</v>
      </c>
      <c r="G66" s="25">
        <v>392780</v>
      </c>
      <c r="H66" s="24">
        <v>327569</v>
      </c>
      <c r="I66" s="25">
        <v>339685</v>
      </c>
      <c r="J66" s="25">
        <v>346396</v>
      </c>
      <c r="K66" s="26">
        <v>392132</v>
      </c>
      <c r="L66" s="24">
        <v>342205</v>
      </c>
      <c r="M66" s="25">
        <v>342744</v>
      </c>
      <c r="N66" s="25">
        <v>346975</v>
      </c>
      <c r="O66" s="26">
        <v>397148</v>
      </c>
      <c r="P66" s="24">
        <v>387358</v>
      </c>
      <c r="Q66" s="25">
        <v>435497</v>
      </c>
      <c r="R66" s="25">
        <v>433495</v>
      </c>
      <c r="S66" s="26">
        <v>476429</v>
      </c>
      <c r="T66" s="24">
        <v>457273</v>
      </c>
      <c r="U66" s="25">
        <v>469275</v>
      </c>
      <c r="V66" s="25">
        <v>472473</v>
      </c>
      <c r="W66" s="280">
        <v>538058</v>
      </c>
      <c r="X66" s="24">
        <v>495729</v>
      </c>
      <c r="Y66" s="25">
        <v>487386</v>
      </c>
      <c r="Z66" s="25">
        <v>519540</v>
      </c>
      <c r="AA66" s="25">
        <v>541132</v>
      </c>
      <c r="AB66" s="24">
        <v>496502</v>
      </c>
      <c r="AC66" s="26">
        <v>529228</v>
      </c>
      <c r="AD66" s="61"/>
      <c r="AE66" s="24">
        <f t="shared" si="14"/>
        <v>392780</v>
      </c>
      <c r="AF66" s="25">
        <f t="shared" si="15"/>
        <v>392132</v>
      </c>
      <c r="AG66" s="25">
        <v>397148</v>
      </c>
      <c r="AH66" s="25">
        <f t="shared" si="16"/>
        <v>476429</v>
      </c>
      <c r="AI66" s="266">
        <f t="shared" si="17"/>
        <v>538058</v>
      </c>
      <c r="AJ66" s="280">
        <v>541132</v>
      </c>
    </row>
    <row r="67" spans="1:36" ht="19.649999999999999" customHeight="1">
      <c r="B67" s="3" t="s">
        <v>54</v>
      </c>
      <c r="D67" s="24">
        <v>293357</v>
      </c>
      <c r="E67" s="25">
        <v>298289</v>
      </c>
      <c r="F67" s="25">
        <v>301447</v>
      </c>
      <c r="G67" s="25">
        <v>87226</v>
      </c>
      <c r="H67" s="24">
        <v>88272</v>
      </c>
      <c r="I67" s="25">
        <v>90306</v>
      </c>
      <c r="J67" s="25">
        <v>90039</v>
      </c>
      <c r="K67" s="26">
        <v>92823</v>
      </c>
      <c r="L67" s="24">
        <v>91514</v>
      </c>
      <c r="M67" s="25">
        <v>89893</v>
      </c>
      <c r="N67" s="25">
        <v>89787</v>
      </c>
      <c r="O67" s="26">
        <v>92293</v>
      </c>
      <c r="P67" s="24">
        <v>94843</v>
      </c>
      <c r="Q67" s="25">
        <v>96321</v>
      </c>
      <c r="R67" s="25">
        <v>90742</v>
      </c>
      <c r="S67" s="26">
        <v>93906</v>
      </c>
      <c r="T67" s="24">
        <v>104019</v>
      </c>
      <c r="U67" s="25">
        <v>103206</v>
      </c>
      <c r="V67" s="25">
        <v>102452</v>
      </c>
      <c r="W67" s="280">
        <v>106948</v>
      </c>
      <c r="X67" s="24">
        <v>112363</v>
      </c>
      <c r="Y67" s="25">
        <v>103749</v>
      </c>
      <c r="Z67" s="25">
        <v>111196</v>
      </c>
      <c r="AA67" s="25">
        <v>110007</v>
      </c>
      <c r="AB67" s="24">
        <v>110759</v>
      </c>
      <c r="AC67" s="26">
        <v>115356</v>
      </c>
      <c r="AD67" s="61"/>
      <c r="AE67" s="24">
        <f t="shared" si="14"/>
        <v>87226</v>
      </c>
      <c r="AF67" s="25">
        <f t="shared" si="15"/>
        <v>92823</v>
      </c>
      <c r="AG67" s="25">
        <v>92293</v>
      </c>
      <c r="AH67" s="25">
        <f t="shared" si="16"/>
        <v>93906</v>
      </c>
      <c r="AI67" s="266">
        <f t="shared" si="17"/>
        <v>106948</v>
      </c>
      <c r="AJ67" s="280">
        <v>110007</v>
      </c>
    </row>
    <row r="68" spans="1:36" ht="19.649999999999999" customHeight="1">
      <c r="B68" s="3" t="s">
        <v>55</v>
      </c>
      <c r="D68" s="24">
        <v>219443</v>
      </c>
      <c r="E68" s="25">
        <v>215670</v>
      </c>
      <c r="F68" s="25">
        <v>238885</v>
      </c>
      <c r="G68" s="25">
        <v>201248</v>
      </c>
      <c r="H68" s="24">
        <v>212903</v>
      </c>
      <c r="I68" s="25">
        <v>196704</v>
      </c>
      <c r="J68" s="25">
        <v>204628</v>
      </c>
      <c r="K68" s="26">
        <v>192016</v>
      </c>
      <c r="L68" s="24">
        <v>193809</v>
      </c>
      <c r="M68" s="25">
        <v>206564</v>
      </c>
      <c r="N68" s="25">
        <v>228225</v>
      </c>
      <c r="O68" s="26">
        <v>232558</v>
      </c>
      <c r="P68" s="24">
        <v>264563</v>
      </c>
      <c r="Q68" s="25">
        <v>312472</v>
      </c>
      <c r="R68" s="25">
        <v>328837</v>
      </c>
      <c r="S68" s="26">
        <v>314368</v>
      </c>
      <c r="T68" s="24">
        <v>342434</v>
      </c>
      <c r="U68" s="25">
        <v>340612</v>
      </c>
      <c r="V68" s="25">
        <v>326530</v>
      </c>
      <c r="W68" s="280">
        <v>300595</v>
      </c>
      <c r="X68" s="24">
        <v>319427</v>
      </c>
      <c r="Y68" s="25">
        <v>314732</v>
      </c>
      <c r="Z68" s="25">
        <v>339081</v>
      </c>
      <c r="AA68" s="25">
        <v>298900</v>
      </c>
      <c r="AB68" s="24">
        <v>322815</v>
      </c>
      <c r="AC68" s="26">
        <v>332763</v>
      </c>
      <c r="AD68" s="61"/>
      <c r="AE68" s="24">
        <f t="shared" si="14"/>
        <v>201248</v>
      </c>
      <c r="AF68" s="25">
        <f t="shared" si="15"/>
        <v>192016</v>
      </c>
      <c r="AG68" s="25">
        <v>232558</v>
      </c>
      <c r="AH68" s="25">
        <f t="shared" si="16"/>
        <v>314368</v>
      </c>
      <c r="AI68" s="266">
        <f t="shared" si="17"/>
        <v>300595</v>
      </c>
      <c r="AJ68" s="280">
        <v>298900</v>
      </c>
    </row>
    <row r="69" spans="1:36" ht="19.649999999999999" customHeight="1">
      <c r="B69" s="3" t="s">
        <v>56</v>
      </c>
      <c r="D69" s="24">
        <v>48843</v>
      </c>
      <c r="E69" s="25">
        <v>46715</v>
      </c>
      <c r="F69" s="25">
        <v>43746</v>
      </c>
      <c r="G69" s="25">
        <v>36428</v>
      </c>
      <c r="H69" s="24">
        <v>40016</v>
      </c>
      <c r="I69" s="25">
        <v>38655</v>
      </c>
      <c r="J69" s="25">
        <v>46247</v>
      </c>
      <c r="K69" s="26">
        <v>46725</v>
      </c>
      <c r="L69" s="24">
        <v>51465</v>
      </c>
      <c r="M69" s="25">
        <v>49525</v>
      </c>
      <c r="N69" s="25">
        <v>52155</v>
      </c>
      <c r="O69" s="26">
        <v>50034</v>
      </c>
      <c r="P69" s="24">
        <v>65575</v>
      </c>
      <c r="Q69" s="25">
        <v>64719</v>
      </c>
      <c r="R69" s="25">
        <v>66818</v>
      </c>
      <c r="S69" s="26">
        <v>68499</v>
      </c>
      <c r="T69" s="24">
        <v>83539</v>
      </c>
      <c r="U69" s="25">
        <v>81455</v>
      </c>
      <c r="V69" s="25">
        <v>71168</v>
      </c>
      <c r="W69" s="280">
        <v>72655</v>
      </c>
      <c r="X69" s="24">
        <v>80634</v>
      </c>
      <c r="Y69" s="25">
        <v>77069</v>
      </c>
      <c r="Z69" s="25">
        <v>75474</v>
      </c>
      <c r="AA69" s="25">
        <v>71115</v>
      </c>
      <c r="AB69" s="24">
        <v>77630</v>
      </c>
      <c r="AC69" s="26">
        <v>78909</v>
      </c>
      <c r="AD69" s="61"/>
      <c r="AE69" s="24">
        <f t="shared" si="14"/>
        <v>36428</v>
      </c>
      <c r="AF69" s="25">
        <f t="shared" si="15"/>
        <v>46725</v>
      </c>
      <c r="AG69" s="25">
        <v>50034</v>
      </c>
      <c r="AH69" s="25">
        <f t="shared" si="16"/>
        <v>68499</v>
      </c>
      <c r="AI69" s="266">
        <f t="shared" si="17"/>
        <v>72655</v>
      </c>
      <c r="AJ69" s="280">
        <v>71115</v>
      </c>
    </row>
    <row r="70" spans="1:36" ht="19.649999999999999" customHeight="1">
      <c r="B70" s="3" t="s">
        <v>57</v>
      </c>
      <c r="D70" s="24"/>
      <c r="E70" s="25"/>
      <c r="F70" s="25"/>
      <c r="G70" s="25">
        <v>1125582</v>
      </c>
      <c r="H70" s="24"/>
      <c r="I70" s="25"/>
      <c r="J70" s="25"/>
      <c r="K70" s="26"/>
      <c r="L70" s="24"/>
      <c r="M70" s="25">
        <v>1162</v>
      </c>
      <c r="N70" s="25"/>
      <c r="O70" s="26"/>
      <c r="P70" s="24"/>
      <c r="Q70" s="25"/>
      <c r="R70" s="25"/>
      <c r="S70" s="26"/>
      <c r="T70" s="24"/>
      <c r="U70" s="25"/>
      <c r="V70" s="25">
        <v>8365</v>
      </c>
      <c r="W70" s="280">
        <v>7724</v>
      </c>
      <c r="X70" s="24">
        <v>8413</v>
      </c>
      <c r="Y70" s="25"/>
      <c r="Z70" s="25"/>
      <c r="AA70" s="25"/>
      <c r="AB70" s="24"/>
      <c r="AC70" s="99"/>
      <c r="AD70" s="61"/>
      <c r="AE70" s="24">
        <f t="shared" si="14"/>
        <v>1125582</v>
      </c>
      <c r="AF70" s="25"/>
      <c r="AG70" s="25"/>
      <c r="AH70" s="88"/>
      <c r="AI70" s="266">
        <f t="shared" si="17"/>
        <v>7724</v>
      </c>
      <c r="AJ70" s="280"/>
    </row>
    <row r="71" spans="1:36" ht="19.649999999999999" customHeight="1">
      <c r="A71" s="29"/>
      <c r="B71" s="29"/>
      <c r="C71" s="29" t="s">
        <v>58</v>
      </c>
      <c r="D71" s="30">
        <f t="shared" ref="D71:F71" si="18">SUM(D64:D70)</f>
        <v>1368085</v>
      </c>
      <c r="E71" s="31">
        <f t="shared" si="18"/>
        <v>1398742</v>
      </c>
      <c r="F71" s="31">
        <f t="shared" si="18"/>
        <v>1397688</v>
      </c>
      <c r="G71" s="31">
        <f>SUM(G64:G70)</f>
        <v>2106148</v>
      </c>
      <c r="H71" s="30">
        <f t="shared" ref="H71" si="19">SUM(H64:H70)</f>
        <v>988837</v>
      </c>
      <c r="I71" s="31">
        <v>1002527</v>
      </c>
      <c r="J71" s="31">
        <v>1016018</v>
      </c>
      <c r="K71" s="32">
        <v>1058744</v>
      </c>
      <c r="L71" s="30">
        <v>1007938</v>
      </c>
      <c r="M71" s="31">
        <v>965972</v>
      </c>
      <c r="N71" s="31">
        <v>941934</v>
      </c>
      <c r="O71" s="32">
        <v>1012422</v>
      </c>
      <c r="P71" s="30">
        <v>1064608</v>
      </c>
      <c r="Q71" s="31">
        <v>1123765</v>
      </c>
      <c r="R71" s="31">
        <v>1113338</v>
      </c>
      <c r="S71" s="32">
        <v>1175299</v>
      </c>
      <c r="T71" s="30">
        <v>1179967</v>
      </c>
      <c r="U71" s="31">
        <f>SUM(U64:U70)</f>
        <v>1157154</v>
      </c>
      <c r="V71" s="31">
        <v>1162785</v>
      </c>
      <c r="W71" s="274">
        <f>SUM(W64:W70)</f>
        <v>1203301</v>
      </c>
      <c r="X71" s="30">
        <v>1201253</v>
      </c>
      <c r="Y71" s="31">
        <v>1189520</v>
      </c>
      <c r="Z71" s="31">
        <v>1232751</v>
      </c>
      <c r="AA71" s="31">
        <v>1213449</v>
      </c>
      <c r="AB71" s="30">
        <f>SUM(AB64:AB70)</f>
        <v>1167594</v>
      </c>
      <c r="AC71" s="32">
        <f t="shared" ref="AC71" si="20">SUM(AC64:AC70)</f>
        <v>1235065</v>
      </c>
      <c r="AD71" s="61"/>
      <c r="AE71" s="30">
        <f t="shared" si="14"/>
        <v>2106148</v>
      </c>
      <c r="AF71" s="31">
        <f t="shared" ref="AF71:AF78" si="21">K71</f>
        <v>1058744</v>
      </c>
      <c r="AG71" s="31">
        <v>1012422</v>
      </c>
      <c r="AH71" s="31">
        <v>1175299</v>
      </c>
      <c r="AI71" s="315">
        <f t="shared" si="17"/>
        <v>1203301</v>
      </c>
      <c r="AJ71" s="274">
        <v>1213449</v>
      </c>
    </row>
    <row r="72" spans="1:36" ht="19.649999999999999" customHeight="1">
      <c r="B72" s="3" t="s">
        <v>59</v>
      </c>
      <c r="D72" s="24">
        <v>242603</v>
      </c>
      <c r="E72" s="25">
        <v>254873</v>
      </c>
      <c r="F72" s="25">
        <v>259519</v>
      </c>
      <c r="G72" s="25">
        <v>201569</v>
      </c>
      <c r="H72" s="24">
        <v>204074</v>
      </c>
      <c r="I72" s="25">
        <v>201585</v>
      </c>
      <c r="J72" s="25">
        <v>194473</v>
      </c>
      <c r="K72" s="26">
        <v>191963</v>
      </c>
      <c r="L72" s="24">
        <v>188116</v>
      </c>
      <c r="M72" s="25">
        <v>183234</v>
      </c>
      <c r="N72" s="25">
        <v>182142</v>
      </c>
      <c r="O72" s="26">
        <v>188439</v>
      </c>
      <c r="P72" s="24">
        <v>188935</v>
      </c>
      <c r="Q72" s="25">
        <v>197970</v>
      </c>
      <c r="R72" s="25">
        <v>193119</v>
      </c>
      <c r="S72" s="26">
        <v>196512</v>
      </c>
      <c r="T72" s="24">
        <v>200647</v>
      </c>
      <c r="U72" s="25">
        <v>201617</v>
      </c>
      <c r="V72" s="266">
        <v>195478</v>
      </c>
      <c r="W72" s="280">
        <v>203568</v>
      </c>
      <c r="X72" s="24">
        <v>206027</v>
      </c>
      <c r="Y72" s="25">
        <v>200606</v>
      </c>
      <c r="Z72" s="25">
        <v>203845</v>
      </c>
      <c r="AA72" s="25">
        <v>204009</v>
      </c>
      <c r="AB72" s="24">
        <v>201880</v>
      </c>
      <c r="AC72" s="26">
        <v>204827</v>
      </c>
      <c r="AD72" s="61"/>
      <c r="AE72" s="24">
        <f t="shared" si="14"/>
        <v>201569</v>
      </c>
      <c r="AF72" s="25">
        <f t="shared" si="21"/>
        <v>191963</v>
      </c>
      <c r="AG72" s="25">
        <v>188439</v>
      </c>
      <c r="AH72" s="25">
        <v>196512</v>
      </c>
      <c r="AI72" s="266">
        <f t="shared" si="17"/>
        <v>203568</v>
      </c>
      <c r="AJ72" s="280">
        <v>204009</v>
      </c>
    </row>
    <row r="73" spans="1:36" ht="19.649999999999999" customHeight="1">
      <c r="B73" s="3" t="s">
        <v>60</v>
      </c>
      <c r="D73" s="24">
        <v>73717</v>
      </c>
      <c r="E73" s="25">
        <v>69839</v>
      </c>
      <c r="F73" s="25">
        <v>65152</v>
      </c>
      <c r="G73" s="25">
        <v>59425</v>
      </c>
      <c r="H73" s="24">
        <v>64825</v>
      </c>
      <c r="I73" s="25">
        <v>62437</v>
      </c>
      <c r="J73" s="25">
        <v>66258</v>
      </c>
      <c r="K73" s="26">
        <v>63653</v>
      </c>
      <c r="L73" s="24">
        <v>61502</v>
      </c>
      <c r="M73" s="25">
        <v>56471</v>
      </c>
      <c r="N73" s="25">
        <v>55632</v>
      </c>
      <c r="O73" s="26">
        <v>57730</v>
      </c>
      <c r="P73" s="24">
        <v>58696</v>
      </c>
      <c r="Q73" s="25">
        <v>60635</v>
      </c>
      <c r="R73" s="25">
        <v>56550</v>
      </c>
      <c r="S73" s="26">
        <v>57003</v>
      </c>
      <c r="T73" s="24">
        <v>58111</v>
      </c>
      <c r="U73" s="25">
        <v>59967</v>
      </c>
      <c r="V73" s="266">
        <v>60371</v>
      </c>
      <c r="W73" s="280">
        <v>62706</v>
      </c>
      <c r="X73" s="24">
        <v>67068</v>
      </c>
      <c r="Y73" s="25">
        <v>67822</v>
      </c>
      <c r="Z73" s="25">
        <v>72799</v>
      </c>
      <c r="AA73" s="25">
        <v>69505</v>
      </c>
      <c r="AB73" s="24">
        <v>73260</v>
      </c>
      <c r="AC73" s="26">
        <v>71400</v>
      </c>
      <c r="AD73" s="61"/>
      <c r="AE73" s="24">
        <f t="shared" si="14"/>
        <v>59425</v>
      </c>
      <c r="AF73" s="25">
        <f t="shared" si="21"/>
        <v>63653</v>
      </c>
      <c r="AG73" s="25">
        <v>57730</v>
      </c>
      <c r="AH73" s="25">
        <v>57003</v>
      </c>
      <c r="AI73" s="266">
        <f t="shared" si="17"/>
        <v>62706</v>
      </c>
      <c r="AJ73" s="280">
        <v>69505</v>
      </c>
    </row>
    <row r="74" spans="1:36" ht="19.649999999999999" customHeight="1">
      <c r="B74" s="3" t="s">
        <v>61</v>
      </c>
      <c r="D74" s="24">
        <v>216672</v>
      </c>
      <c r="E74" s="25">
        <v>231844</v>
      </c>
      <c r="F74" s="25">
        <v>234423</v>
      </c>
      <c r="G74" s="25">
        <v>231898</v>
      </c>
      <c r="H74" s="24">
        <v>231535</v>
      </c>
      <c r="I74" s="25">
        <v>235689</v>
      </c>
      <c r="J74" s="25">
        <v>231503</v>
      </c>
      <c r="K74" s="26">
        <v>225510</v>
      </c>
      <c r="L74" s="24">
        <v>231283</v>
      </c>
      <c r="M74" s="25">
        <v>233358</v>
      </c>
      <c r="N74" s="25">
        <v>240111</v>
      </c>
      <c r="O74" s="26">
        <v>259482</v>
      </c>
      <c r="P74" s="24">
        <v>276807</v>
      </c>
      <c r="Q74" s="25">
        <v>330060</v>
      </c>
      <c r="R74" s="25">
        <v>336133</v>
      </c>
      <c r="S74" s="26">
        <v>366394</v>
      </c>
      <c r="T74" s="24">
        <v>401135</v>
      </c>
      <c r="U74" s="25">
        <v>406224</v>
      </c>
      <c r="V74" s="266">
        <v>401061</v>
      </c>
      <c r="W74" s="280">
        <v>412461</v>
      </c>
      <c r="X74" s="24">
        <v>433039</v>
      </c>
      <c r="Y74" s="25">
        <v>421173</v>
      </c>
      <c r="Z74" s="25">
        <v>435362</v>
      </c>
      <c r="AA74" s="25">
        <v>432792</v>
      </c>
      <c r="AB74" s="24">
        <v>429168</v>
      </c>
      <c r="AC74" s="26">
        <v>434247</v>
      </c>
      <c r="AD74" s="61"/>
      <c r="AE74" s="24">
        <f t="shared" si="14"/>
        <v>231898</v>
      </c>
      <c r="AF74" s="25">
        <f t="shared" si="21"/>
        <v>225510</v>
      </c>
      <c r="AG74" s="25">
        <v>259482</v>
      </c>
      <c r="AH74" s="25">
        <v>366394</v>
      </c>
      <c r="AI74" s="266">
        <f t="shared" si="17"/>
        <v>412461</v>
      </c>
      <c r="AJ74" s="280">
        <v>432792</v>
      </c>
    </row>
    <row r="75" spans="1:36" ht="19.649999999999999" customHeight="1">
      <c r="B75" s="3" t="s">
        <v>54</v>
      </c>
      <c r="D75" s="24">
        <v>709283</v>
      </c>
      <c r="E75" s="25">
        <v>727488</v>
      </c>
      <c r="F75" s="25">
        <v>743969</v>
      </c>
      <c r="G75" s="25">
        <v>139181</v>
      </c>
      <c r="H75" s="24">
        <v>134734</v>
      </c>
      <c r="I75" s="25">
        <v>132772</v>
      </c>
      <c r="J75" s="25">
        <v>131927</v>
      </c>
      <c r="K75" s="26">
        <v>136093</v>
      </c>
      <c r="L75" s="24">
        <v>132391</v>
      </c>
      <c r="M75" s="25">
        <v>125823</v>
      </c>
      <c r="N75" s="25">
        <v>123317</v>
      </c>
      <c r="O75" s="26">
        <v>128321</v>
      </c>
      <c r="P75" s="24">
        <v>132125</v>
      </c>
      <c r="Q75" s="25">
        <v>131305</v>
      </c>
      <c r="R75" s="25">
        <v>126661</v>
      </c>
      <c r="S75" s="26">
        <v>135158</v>
      </c>
      <c r="T75" s="24">
        <v>147269</v>
      </c>
      <c r="U75" s="25">
        <v>155344</v>
      </c>
      <c r="V75" s="266">
        <v>155052</v>
      </c>
      <c r="W75" s="280">
        <v>169649</v>
      </c>
      <c r="X75" s="24">
        <v>180139</v>
      </c>
      <c r="Y75" s="25">
        <v>173276</v>
      </c>
      <c r="Z75" s="25">
        <v>183224</v>
      </c>
      <c r="AA75" s="25">
        <v>183524</v>
      </c>
      <c r="AB75" s="24">
        <v>183034</v>
      </c>
      <c r="AC75" s="26">
        <v>188784</v>
      </c>
      <c r="AD75" s="61"/>
      <c r="AE75" s="24">
        <f t="shared" si="14"/>
        <v>139181</v>
      </c>
      <c r="AF75" s="25">
        <f t="shared" si="21"/>
        <v>136093</v>
      </c>
      <c r="AG75" s="25">
        <v>128321</v>
      </c>
      <c r="AH75" s="25">
        <v>135158</v>
      </c>
      <c r="AI75" s="266">
        <f t="shared" si="17"/>
        <v>169649</v>
      </c>
      <c r="AJ75" s="280">
        <v>183524</v>
      </c>
    </row>
    <row r="76" spans="1:36" ht="19.649999999999999" customHeight="1">
      <c r="B76" s="3" t="s">
        <v>62</v>
      </c>
      <c r="D76" s="24">
        <v>167301</v>
      </c>
      <c r="E76" s="25">
        <v>169205</v>
      </c>
      <c r="F76" s="25">
        <v>172595</v>
      </c>
      <c r="G76" s="25">
        <v>129424</v>
      </c>
      <c r="H76" s="24">
        <v>197864</v>
      </c>
      <c r="I76" s="25">
        <v>202539</v>
      </c>
      <c r="J76" s="25">
        <v>206710</v>
      </c>
      <c r="K76" s="26">
        <v>211905</v>
      </c>
      <c r="L76" s="24">
        <v>214138</v>
      </c>
      <c r="M76" s="25">
        <v>215973</v>
      </c>
      <c r="N76" s="25">
        <v>217367</v>
      </c>
      <c r="O76" s="26">
        <v>206860</v>
      </c>
      <c r="P76" s="24">
        <v>209618</v>
      </c>
      <c r="Q76" s="25">
        <v>216352</v>
      </c>
      <c r="R76" s="25">
        <v>213797</v>
      </c>
      <c r="S76" s="26">
        <v>219590</v>
      </c>
      <c r="T76" s="24">
        <v>226647</v>
      </c>
      <c r="U76" s="261">
        <v>230482</v>
      </c>
      <c r="V76" s="267">
        <v>233038</v>
      </c>
      <c r="W76" s="291">
        <v>234490</v>
      </c>
      <c r="X76" s="98">
        <v>242114</v>
      </c>
      <c r="Y76" s="25">
        <v>254106</v>
      </c>
      <c r="Z76" s="25">
        <v>267389</v>
      </c>
      <c r="AA76" s="25">
        <v>253839</v>
      </c>
      <c r="AB76" s="175">
        <v>260877</v>
      </c>
      <c r="AC76" s="337">
        <v>268933</v>
      </c>
      <c r="AD76" s="61"/>
      <c r="AE76" s="24">
        <f t="shared" si="14"/>
        <v>129424</v>
      </c>
      <c r="AF76" s="25">
        <f t="shared" si="21"/>
        <v>211905</v>
      </c>
      <c r="AG76" s="25">
        <v>206860</v>
      </c>
      <c r="AH76" s="25">
        <v>219590</v>
      </c>
      <c r="AI76" s="266">
        <f t="shared" si="17"/>
        <v>234490</v>
      </c>
      <c r="AJ76" s="280">
        <v>253839</v>
      </c>
    </row>
    <row r="77" spans="1:36" ht="19.649999999999999" customHeight="1">
      <c r="A77" s="29"/>
      <c r="B77" s="29"/>
      <c r="C77" s="29" t="s">
        <v>63</v>
      </c>
      <c r="D77" s="30">
        <f t="shared" ref="D77" si="22">SUM(D72:D76)</f>
        <v>1409576</v>
      </c>
      <c r="E77" s="31">
        <f t="shared" ref="E77" si="23">SUM(E72:E76)</f>
        <v>1453249</v>
      </c>
      <c r="F77" s="31">
        <v>1475658</v>
      </c>
      <c r="G77" s="31">
        <f t="shared" ref="G77:H77" si="24">SUM(G72:G76)</f>
        <v>761497</v>
      </c>
      <c r="H77" s="30">
        <f t="shared" si="24"/>
        <v>833032</v>
      </c>
      <c r="I77" s="31">
        <v>835022</v>
      </c>
      <c r="J77" s="31">
        <v>830871</v>
      </c>
      <c r="K77" s="32">
        <v>829124</v>
      </c>
      <c r="L77" s="30">
        <v>827430</v>
      </c>
      <c r="M77" s="31">
        <v>814859</v>
      </c>
      <c r="N77" s="31">
        <v>818569</v>
      </c>
      <c r="O77" s="32">
        <v>840832</v>
      </c>
      <c r="P77" s="30">
        <v>866181</v>
      </c>
      <c r="Q77" s="31">
        <v>936322</v>
      </c>
      <c r="R77" s="31">
        <v>926260</v>
      </c>
      <c r="S77" s="32">
        <v>974657</v>
      </c>
      <c r="T77" s="30">
        <v>1033809</v>
      </c>
      <c r="U77" s="31">
        <f t="shared" ref="U77" si="25">SUM(U72:U76)</f>
        <v>1053634</v>
      </c>
      <c r="V77" s="31">
        <f t="shared" ref="V77" si="26">SUM(V72:V76)</f>
        <v>1045000</v>
      </c>
      <c r="W77" s="274">
        <f t="shared" ref="W77" si="27">SUM(W72:W76)</f>
        <v>1082874</v>
      </c>
      <c r="X77" s="30">
        <v>1128387</v>
      </c>
      <c r="Y77" s="31">
        <v>1116983</v>
      </c>
      <c r="Z77" s="31">
        <v>1162619</v>
      </c>
      <c r="AA77" s="31">
        <v>1143669</v>
      </c>
      <c r="AB77" s="30">
        <f>SUM(AB72:AB76)</f>
        <v>1148219</v>
      </c>
      <c r="AC77" s="99">
        <f t="shared" ref="AC77" si="28">SUM(AC72:AC76)</f>
        <v>1168191</v>
      </c>
      <c r="AD77" s="61"/>
      <c r="AE77" s="30">
        <f t="shared" si="14"/>
        <v>761497</v>
      </c>
      <c r="AF77" s="31">
        <f t="shared" si="21"/>
        <v>829124</v>
      </c>
      <c r="AG77" s="31">
        <v>840832</v>
      </c>
      <c r="AH77" s="31">
        <v>974657</v>
      </c>
      <c r="AI77" s="315">
        <f t="shared" si="17"/>
        <v>1082874</v>
      </c>
      <c r="AJ77" s="274">
        <v>1143669</v>
      </c>
    </row>
    <row r="78" spans="1:36" ht="19.649999999999999" customHeight="1" thickBot="1">
      <c r="A78" s="89"/>
      <c r="B78" s="89"/>
      <c r="C78" s="89" t="s">
        <v>64</v>
      </c>
      <c r="D78" s="90">
        <f t="shared" ref="D78:E78" si="29">SUM(D71,D77)</f>
        <v>2777661</v>
      </c>
      <c r="E78" s="91">
        <f t="shared" si="29"/>
        <v>2851991</v>
      </c>
      <c r="F78" s="91">
        <v>2873346</v>
      </c>
      <c r="G78" s="91">
        <f t="shared" ref="G78:H78" si="30">SUM(G71,G77)</f>
        <v>2867645</v>
      </c>
      <c r="H78" s="90">
        <f t="shared" si="30"/>
        <v>1821869</v>
      </c>
      <c r="I78" s="91">
        <v>1837549</v>
      </c>
      <c r="J78" s="91">
        <v>1846889</v>
      </c>
      <c r="K78" s="92">
        <v>1887868</v>
      </c>
      <c r="L78" s="90">
        <v>1835368</v>
      </c>
      <c r="M78" s="91">
        <v>1780831</v>
      </c>
      <c r="N78" s="91">
        <v>1760503</v>
      </c>
      <c r="O78" s="92">
        <v>1853254</v>
      </c>
      <c r="P78" s="90">
        <v>1930789</v>
      </c>
      <c r="Q78" s="91">
        <v>2060087</v>
      </c>
      <c r="R78" s="91">
        <v>2039598</v>
      </c>
      <c r="S78" s="92">
        <v>2149956</v>
      </c>
      <c r="T78" s="90">
        <v>2213776</v>
      </c>
      <c r="U78" s="91">
        <f t="shared" ref="U78:V78" si="31">SUM(U71,U77)</f>
        <v>2210788</v>
      </c>
      <c r="V78" s="91">
        <f t="shared" si="31"/>
        <v>2207785</v>
      </c>
      <c r="W78" s="286">
        <f>SUM(W71,W77)</f>
        <v>2286175</v>
      </c>
      <c r="X78" s="90">
        <v>2329640</v>
      </c>
      <c r="Y78" s="91">
        <v>2306503</v>
      </c>
      <c r="Z78" s="91">
        <v>2395370</v>
      </c>
      <c r="AA78" s="91">
        <v>2357118</v>
      </c>
      <c r="AB78" s="90">
        <f>SUM(AB71,AB77)</f>
        <v>2315813</v>
      </c>
      <c r="AC78" s="338">
        <f t="shared" ref="AC78" si="32">SUM(AC71,AC77)</f>
        <v>2403256</v>
      </c>
      <c r="AD78" s="61"/>
      <c r="AE78" s="90">
        <f t="shared" si="14"/>
        <v>2867645</v>
      </c>
      <c r="AF78" s="91">
        <f t="shared" si="21"/>
        <v>1887868</v>
      </c>
      <c r="AG78" s="91">
        <v>1853254</v>
      </c>
      <c r="AH78" s="91">
        <v>2149956</v>
      </c>
      <c r="AI78" s="321">
        <f t="shared" si="17"/>
        <v>2286175</v>
      </c>
      <c r="AJ78" s="286">
        <v>2357118</v>
      </c>
    </row>
    <row r="79" spans="1:36" ht="19.649999999999999" customHeight="1"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27"/>
      <c r="AE79" s="57"/>
      <c r="AF79" s="57"/>
      <c r="AG79" s="57"/>
      <c r="AH79" s="57"/>
      <c r="AI79" s="57"/>
      <c r="AJ79" s="57"/>
    </row>
    <row r="80" spans="1:36" ht="27.15" customHeight="1">
      <c r="A80" s="79" t="s">
        <v>65</v>
      </c>
      <c r="B80" s="79"/>
      <c r="C80" s="79"/>
      <c r="D80" s="96"/>
      <c r="E80" s="96"/>
      <c r="F80" s="96"/>
      <c r="G80" s="27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27"/>
      <c r="Z80" s="27"/>
      <c r="AA80" s="27"/>
      <c r="AB80" s="27"/>
      <c r="AC80" s="27"/>
      <c r="AD80" s="27"/>
      <c r="AE80" s="96"/>
      <c r="AF80" s="27"/>
      <c r="AG80" s="27"/>
      <c r="AH80" s="27"/>
      <c r="AI80" s="27"/>
      <c r="AJ80" s="27"/>
    </row>
    <row r="81" spans="1:36" ht="19.649999999999999" customHeight="1">
      <c r="B81" s="3" t="s">
        <v>66</v>
      </c>
      <c r="D81" s="24">
        <v>238141</v>
      </c>
      <c r="E81" s="25">
        <v>286054</v>
      </c>
      <c r="F81" s="25">
        <v>260183</v>
      </c>
      <c r="G81" s="37">
        <v>51492</v>
      </c>
      <c r="H81" s="24">
        <v>43479</v>
      </c>
      <c r="I81" s="25">
        <v>94217</v>
      </c>
      <c r="J81" s="25">
        <v>73569</v>
      </c>
      <c r="K81" s="26">
        <v>82731</v>
      </c>
      <c r="L81" s="24">
        <v>101834</v>
      </c>
      <c r="M81" s="25">
        <v>115210</v>
      </c>
      <c r="N81" s="25">
        <v>115511</v>
      </c>
      <c r="O81" s="26">
        <v>114395</v>
      </c>
      <c r="P81" s="24">
        <v>100436</v>
      </c>
      <c r="Q81" s="25">
        <v>147099</v>
      </c>
      <c r="R81" s="25">
        <v>172338</v>
      </c>
      <c r="S81" s="26">
        <v>157828</v>
      </c>
      <c r="T81" s="24">
        <v>171280</v>
      </c>
      <c r="U81" s="25">
        <v>171738</v>
      </c>
      <c r="V81" s="25">
        <v>200926</v>
      </c>
      <c r="W81" s="38">
        <v>152592</v>
      </c>
      <c r="X81" s="36">
        <v>102180</v>
      </c>
      <c r="Y81" s="37">
        <v>147334</v>
      </c>
      <c r="Z81" s="37">
        <v>182990</v>
      </c>
      <c r="AA81" s="37">
        <v>145691</v>
      </c>
      <c r="AB81" s="36">
        <v>130710</v>
      </c>
      <c r="AC81" s="37">
        <v>172586</v>
      </c>
      <c r="AD81" s="61"/>
      <c r="AE81" s="36">
        <f t="shared" ref="AE81:AE100" si="33">G81</f>
        <v>51492</v>
      </c>
      <c r="AF81" s="37">
        <f t="shared" ref="AF81:AF100" si="34">K81</f>
        <v>82731</v>
      </c>
      <c r="AG81" s="37">
        <v>114395</v>
      </c>
      <c r="AH81" s="37">
        <v>157828</v>
      </c>
      <c r="AI81" s="37">
        <v>152592</v>
      </c>
      <c r="AJ81" s="38">
        <v>145691</v>
      </c>
    </row>
    <row r="82" spans="1:36" ht="19.649999999999999" customHeight="1">
      <c r="B82" s="3" t="s">
        <v>67</v>
      </c>
      <c r="D82" s="24">
        <v>277090</v>
      </c>
      <c r="E82" s="25">
        <v>299405</v>
      </c>
      <c r="F82" s="25">
        <v>291426</v>
      </c>
      <c r="G82" s="25">
        <v>246055</v>
      </c>
      <c r="H82" s="24">
        <v>238744</v>
      </c>
      <c r="I82" s="25">
        <v>227326</v>
      </c>
      <c r="J82" s="25">
        <v>256091</v>
      </c>
      <c r="K82" s="26">
        <v>287160</v>
      </c>
      <c r="L82" s="24">
        <v>252210</v>
      </c>
      <c r="M82" s="25">
        <v>240024</v>
      </c>
      <c r="N82" s="25">
        <v>231966</v>
      </c>
      <c r="O82" s="26">
        <v>268534</v>
      </c>
      <c r="P82" s="24">
        <v>266831</v>
      </c>
      <c r="Q82" s="25">
        <v>275840</v>
      </c>
      <c r="R82" s="25">
        <v>282071</v>
      </c>
      <c r="S82" s="26">
        <v>312429</v>
      </c>
      <c r="T82" s="24">
        <v>284242</v>
      </c>
      <c r="U82" s="25">
        <v>280730</v>
      </c>
      <c r="V82" s="25">
        <v>271885</v>
      </c>
      <c r="W82" s="26">
        <v>305280</v>
      </c>
      <c r="X82" s="24">
        <v>283899</v>
      </c>
      <c r="Y82" s="25">
        <v>298753</v>
      </c>
      <c r="Z82" s="25">
        <v>304856</v>
      </c>
      <c r="AA82" s="25">
        <v>332699</v>
      </c>
      <c r="AB82" s="24">
        <v>301652</v>
      </c>
      <c r="AC82" s="25">
        <v>311203</v>
      </c>
      <c r="AD82" s="61"/>
      <c r="AE82" s="24">
        <f t="shared" si="33"/>
        <v>246055</v>
      </c>
      <c r="AF82" s="25">
        <f t="shared" si="34"/>
        <v>287160</v>
      </c>
      <c r="AG82" s="25">
        <v>268534</v>
      </c>
      <c r="AH82" s="25">
        <v>312429</v>
      </c>
      <c r="AI82" s="25">
        <v>305280</v>
      </c>
      <c r="AJ82" s="26">
        <v>332699</v>
      </c>
    </row>
    <row r="83" spans="1:36" ht="19.649999999999999" customHeight="1">
      <c r="B83" s="3" t="s">
        <v>68</v>
      </c>
      <c r="D83" s="24">
        <v>29094</v>
      </c>
      <c r="E83" s="25">
        <v>29897</v>
      </c>
      <c r="F83" s="25">
        <v>31142</v>
      </c>
      <c r="G83" s="25">
        <v>27230</v>
      </c>
      <c r="H83" s="24">
        <v>28817</v>
      </c>
      <c r="I83" s="25">
        <v>26388</v>
      </c>
      <c r="J83" s="25">
        <v>25673</v>
      </c>
      <c r="K83" s="26">
        <v>25475</v>
      </c>
      <c r="L83" s="24">
        <v>23568</v>
      </c>
      <c r="M83" s="25">
        <v>22691</v>
      </c>
      <c r="N83" s="25">
        <v>22349</v>
      </c>
      <c r="O83" s="26">
        <v>22665</v>
      </c>
      <c r="P83" s="24">
        <v>23311</v>
      </c>
      <c r="Q83" s="25">
        <v>24453</v>
      </c>
      <c r="R83" s="25">
        <v>22545</v>
      </c>
      <c r="S83" s="26">
        <v>26185</v>
      </c>
      <c r="T83" s="24">
        <v>26654</v>
      </c>
      <c r="U83" s="25">
        <v>22434</v>
      </c>
      <c r="V83" s="25">
        <v>22073</v>
      </c>
      <c r="W83" s="26">
        <v>22543</v>
      </c>
      <c r="X83" s="24">
        <v>23864</v>
      </c>
      <c r="Y83" s="25">
        <v>23725</v>
      </c>
      <c r="Z83" s="25">
        <v>24277</v>
      </c>
      <c r="AA83" s="25">
        <v>24651</v>
      </c>
      <c r="AB83" s="24">
        <v>25719</v>
      </c>
      <c r="AC83" s="25">
        <v>25408</v>
      </c>
      <c r="AD83" s="61"/>
      <c r="AE83" s="24">
        <f t="shared" si="33"/>
        <v>27230</v>
      </c>
      <c r="AF83" s="25">
        <f t="shared" si="34"/>
        <v>25475</v>
      </c>
      <c r="AG83" s="25">
        <v>22665</v>
      </c>
      <c r="AH83" s="25">
        <v>26185</v>
      </c>
      <c r="AI83" s="25">
        <v>22543</v>
      </c>
      <c r="AJ83" s="26">
        <v>24651</v>
      </c>
    </row>
    <row r="84" spans="1:36" ht="19.649999999999999" customHeight="1">
      <c r="B84" s="3" t="s">
        <v>69</v>
      </c>
      <c r="D84" s="24">
        <v>272238</v>
      </c>
      <c r="E84" s="25">
        <v>263752</v>
      </c>
      <c r="F84" s="25">
        <v>260679</v>
      </c>
      <c r="G84" s="25">
        <v>255050</v>
      </c>
      <c r="H84" s="24">
        <v>246403</v>
      </c>
      <c r="I84" s="25">
        <v>234930</v>
      </c>
      <c r="J84" s="25">
        <v>233412</v>
      </c>
      <c r="K84" s="26">
        <v>262150</v>
      </c>
      <c r="L84" s="24">
        <v>271059</v>
      </c>
      <c r="M84" s="25">
        <v>256345</v>
      </c>
      <c r="N84" s="25">
        <v>264452</v>
      </c>
      <c r="O84" s="26">
        <v>287854</v>
      </c>
      <c r="P84" s="24">
        <v>306481</v>
      </c>
      <c r="Q84" s="25">
        <v>321544</v>
      </c>
      <c r="R84" s="25">
        <v>319412</v>
      </c>
      <c r="S84" s="26">
        <v>332672</v>
      </c>
      <c r="T84" s="24">
        <v>375946</v>
      </c>
      <c r="U84" s="25">
        <v>381132</v>
      </c>
      <c r="V84" s="25">
        <v>375927</v>
      </c>
      <c r="W84" s="26">
        <v>397430</v>
      </c>
      <c r="X84" s="24">
        <v>419109</v>
      </c>
      <c r="Y84" s="25">
        <v>396239</v>
      </c>
      <c r="Z84" s="25">
        <v>402322</v>
      </c>
      <c r="AA84" s="25">
        <v>356802</v>
      </c>
      <c r="AB84" s="24">
        <v>350316</v>
      </c>
      <c r="AC84" s="25">
        <v>349718</v>
      </c>
      <c r="AD84" s="61"/>
      <c r="AE84" s="24">
        <f t="shared" si="33"/>
        <v>255050</v>
      </c>
      <c r="AF84" s="25">
        <f t="shared" si="34"/>
        <v>262150</v>
      </c>
      <c r="AG84" s="25">
        <v>287854</v>
      </c>
      <c r="AH84" s="25">
        <v>332672</v>
      </c>
      <c r="AI84" s="25">
        <v>397430</v>
      </c>
      <c r="AJ84" s="26">
        <v>356802</v>
      </c>
    </row>
    <row r="85" spans="1:36" ht="19.649999999999999" customHeight="1">
      <c r="B85" s="3" t="s">
        <v>70</v>
      </c>
      <c r="D85" s="24"/>
      <c r="E85" s="25"/>
      <c r="F85" s="25"/>
      <c r="G85" s="25">
        <v>969069</v>
      </c>
      <c r="H85" s="24"/>
      <c r="I85" s="25"/>
      <c r="J85" s="25"/>
      <c r="K85" s="26"/>
      <c r="L85" s="24"/>
      <c r="M85" s="25"/>
      <c r="N85" s="25"/>
      <c r="O85" s="26"/>
      <c r="P85" s="24"/>
      <c r="Q85" s="25"/>
      <c r="R85" s="25"/>
      <c r="S85" s="26"/>
      <c r="T85" s="24"/>
      <c r="U85" s="25"/>
      <c r="V85" s="25">
        <v>1105</v>
      </c>
      <c r="W85" s="26">
        <v>1430</v>
      </c>
      <c r="X85" s="24">
        <v>1678</v>
      </c>
      <c r="Y85" s="306"/>
      <c r="Z85" s="306"/>
      <c r="AA85" s="306"/>
      <c r="AB85" s="24"/>
      <c r="AC85" s="25"/>
      <c r="AD85" s="61"/>
      <c r="AE85" s="24">
        <f t="shared" si="33"/>
        <v>969069</v>
      </c>
      <c r="AF85" s="25"/>
      <c r="AG85" s="25"/>
      <c r="AH85" s="25"/>
      <c r="AI85" s="25">
        <v>1430</v>
      </c>
      <c r="AJ85" s="26"/>
    </row>
    <row r="86" spans="1:36" ht="19.649999999999999" customHeight="1">
      <c r="A86" s="29"/>
      <c r="B86" s="29"/>
      <c r="C86" s="29" t="s">
        <v>71</v>
      </c>
      <c r="D86" s="30">
        <f t="shared" ref="D86:E86" si="35">SUM(D81:D84)</f>
        <v>816563</v>
      </c>
      <c r="E86" s="31">
        <f t="shared" si="35"/>
        <v>879108</v>
      </c>
      <c r="F86" s="31">
        <v>843430</v>
      </c>
      <c r="G86" s="31">
        <f>SUM(G81:G85)</f>
        <v>1548896</v>
      </c>
      <c r="H86" s="30">
        <f t="shared" ref="H86" si="36">SUM(H81:H85)</f>
        <v>557443</v>
      </c>
      <c r="I86" s="31">
        <v>582861</v>
      </c>
      <c r="J86" s="31">
        <v>588745</v>
      </c>
      <c r="K86" s="32">
        <v>657516</v>
      </c>
      <c r="L86" s="30">
        <v>648671</v>
      </c>
      <c r="M86" s="31">
        <v>634270</v>
      </c>
      <c r="N86" s="31">
        <v>634278</v>
      </c>
      <c r="O86" s="32">
        <v>693448</v>
      </c>
      <c r="P86" s="30">
        <v>697059</v>
      </c>
      <c r="Q86" s="31">
        <v>768936</v>
      </c>
      <c r="R86" s="31">
        <v>796366</v>
      </c>
      <c r="S86" s="32">
        <v>829114</v>
      </c>
      <c r="T86" s="30">
        <v>858122</v>
      </c>
      <c r="U86" s="31">
        <f>SUM(U81:U85)</f>
        <v>856034</v>
      </c>
      <c r="V86" s="31">
        <v>871916</v>
      </c>
      <c r="W86" s="32">
        <v>879275</v>
      </c>
      <c r="X86" s="30">
        <v>830730</v>
      </c>
      <c r="Y86" s="31">
        <v>866051</v>
      </c>
      <c r="Z86" s="31">
        <v>914445</v>
      </c>
      <c r="AA86" s="31">
        <v>859843</v>
      </c>
      <c r="AB86" s="30">
        <f t="shared" ref="AB86" si="37">SUM(AB81:AB85)</f>
        <v>808397</v>
      </c>
      <c r="AC86" s="31">
        <f t="shared" ref="AC86" si="38">SUM(AC81:AC85)</f>
        <v>858915</v>
      </c>
      <c r="AD86" s="61"/>
      <c r="AE86" s="30">
        <f t="shared" si="33"/>
        <v>1548896</v>
      </c>
      <c r="AF86" s="31">
        <f t="shared" si="34"/>
        <v>657516</v>
      </c>
      <c r="AG86" s="31">
        <v>693448</v>
      </c>
      <c r="AH86" s="31">
        <v>829114</v>
      </c>
      <c r="AI86" s="31">
        <v>879275</v>
      </c>
      <c r="AJ86" s="32">
        <v>859843</v>
      </c>
    </row>
    <row r="87" spans="1:36" ht="19.649999999999999" customHeight="1">
      <c r="B87" s="3" t="s">
        <v>66</v>
      </c>
      <c r="D87" s="24">
        <v>720922</v>
      </c>
      <c r="E87" s="25">
        <v>736206</v>
      </c>
      <c r="F87" s="25">
        <v>773899</v>
      </c>
      <c r="G87" s="25">
        <v>128172</v>
      </c>
      <c r="H87" s="24">
        <v>173832</v>
      </c>
      <c r="I87" s="25">
        <v>168306</v>
      </c>
      <c r="J87" s="25">
        <v>168712</v>
      </c>
      <c r="K87" s="26">
        <v>139676</v>
      </c>
      <c r="L87" s="24">
        <v>120389</v>
      </c>
      <c r="M87" s="25">
        <v>119867</v>
      </c>
      <c r="N87" s="25">
        <v>120003</v>
      </c>
      <c r="O87" s="26">
        <v>121042</v>
      </c>
      <c r="P87" s="24">
        <v>162262</v>
      </c>
      <c r="Q87" s="25">
        <v>195102</v>
      </c>
      <c r="R87" s="25">
        <v>184406</v>
      </c>
      <c r="S87" s="26">
        <v>205110</v>
      </c>
      <c r="T87" s="24">
        <v>177451</v>
      </c>
      <c r="U87" s="25">
        <v>175465</v>
      </c>
      <c r="V87" s="25">
        <v>175211</v>
      </c>
      <c r="W87" s="26">
        <v>196974</v>
      </c>
      <c r="X87" s="24">
        <v>253740</v>
      </c>
      <c r="Y87" s="25">
        <v>256081</v>
      </c>
      <c r="Z87" s="25">
        <v>255403</v>
      </c>
      <c r="AA87" s="25">
        <v>294955</v>
      </c>
      <c r="AB87" s="24">
        <v>296522</v>
      </c>
      <c r="AC87" s="25">
        <v>296246</v>
      </c>
      <c r="AD87" s="61"/>
      <c r="AE87" s="24">
        <f t="shared" si="33"/>
        <v>128172</v>
      </c>
      <c r="AF87" s="25">
        <f t="shared" si="34"/>
        <v>139676</v>
      </c>
      <c r="AG87" s="25">
        <v>121042</v>
      </c>
      <c r="AH87" s="25">
        <v>205110</v>
      </c>
      <c r="AI87" s="25">
        <v>196974</v>
      </c>
      <c r="AJ87" s="26">
        <v>294955</v>
      </c>
    </row>
    <row r="88" spans="1:36" ht="19.649999999999999" customHeight="1">
      <c r="B88" s="3" t="s">
        <v>68</v>
      </c>
      <c r="D88" s="24">
        <v>47194</v>
      </c>
      <c r="E88" s="25">
        <v>45465</v>
      </c>
      <c r="F88" s="25">
        <v>39742</v>
      </c>
      <c r="G88" s="25">
        <v>38741</v>
      </c>
      <c r="H88" s="24">
        <v>44954</v>
      </c>
      <c r="I88" s="25">
        <v>44734</v>
      </c>
      <c r="J88" s="25">
        <v>49126</v>
      </c>
      <c r="K88" s="26">
        <v>46737</v>
      </c>
      <c r="L88" s="24">
        <v>45796</v>
      </c>
      <c r="M88" s="25">
        <v>43926</v>
      </c>
      <c r="N88" s="25">
        <v>42610</v>
      </c>
      <c r="O88" s="26">
        <v>44444</v>
      </c>
      <c r="P88" s="24">
        <v>44545</v>
      </c>
      <c r="Q88" s="25">
        <v>45446</v>
      </c>
      <c r="R88" s="25">
        <v>42370</v>
      </c>
      <c r="S88" s="26">
        <v>38147</v>
      </c>
      <c r="T88" s="24">
        <v>40758</v>
      </c>
      <c r="U88" s="25">
        <v>46317</v>
      </c>
      <c r="V88" s="25">
        <v>46775</v>
      </c>
      <c r="W88" s="26">
        <v>47968</v>
      </c>
      <c r="X88" s="24">
        <v>51016</v>
      </c>
      <c r="Y88" s="25">
        <v>50856</v>
      </c>
      <c r="Z88" s="25">
        <v>55237</v>
      </c>
      <c r="AA88" s="25">
        <v>50920</v>
      </c>
      <c r="AB88" s="24">
        <v>53117</v>
      </c>
      <c r="AC88" s="25">
        <v>51722</v>
      </c>
      <c r="AD88" s="61"/>
      <c r="AE88" s="24">
        <f t="shared" si="33"/>
        <v>38741</v>
      </c>
      <c r="AF88" s="25">
        <f t="shared" si="34"/>
        <v>46737</v>
      </c>
      <c r="AG88" s="25">
        <v>44444</v>
      </c>
      <c r="AH88" s="25">
        <v>38147</v>
      </c>
      <c r="AI88" s="25">
        <v>47968</v>
      </c>
      <c r="AJ88" s="26">
        <v>50920</v>
      </c>
    </row>
    <row r="89" spans="1:36" ht="19.649999999999999" customHeight="1">
      <c r="B89" s="3" t="s">
        <v>72</v>
      </c>
      <c r="D89" s="24">
        <v>103327</v>
      </c>
      <c r="E89" s="25">
        <v>99827</v>
      </c>
      <c r="F89" s="25">
        <v>103356</v>
      </c>
      <c r="G89" s="25">
        <v>99795</v>
      </c>
      <c r="H89" s="24">
        <v>97991</v>
      </c>
      <c r="I89" s="25">
        <v>96503</v>
      </c>
      <c r="J89" s="25">
        <v>94751</v>
      </c>
      <c r="K89" s="26">
        <v>70463</v>
      </c>
      <c r="L89" s="24">
        <v>68229</v>
      </c>
      <c r="M89" s="25">
        <v>62302</v>
      </c>
      <c r="N89" s="25">
        <v>61314</v>
      </c>
      <c r="O89" s="26">
        <v>45728</v>
      </c>
      <c r="P89" s="24">
        <v>45042</v>
      </c>
      <c r="Q89" s="25">
        <v>46028</v>
      </c>
      <c r="R89" s="25">
        <v>44246</v>
      </c>
      <c r="S89" s="26">
        <v>41058</v>
      </c>
      <c r="T89" s="24">
        <v>41439</v>
      </c>
      <c r="U89" s="25">
        <v>40628</v>
      </c>
      <c r="V89" s="25">
        <v>39075</v>
      </c>
      <c r="W89" s="26">
        <v>37262</v>
      </c>
      <c r="X89" s="24">
        <v>37974</v>
      </c>
      <c r="Y89" s="25">
        <v>39873</v>
      </c>
      <c r="Z89" s="25">
        <v>39549</v>
      </c>
      <c r="AA89" s="25">
        <v>31940</v>
      </c>
      <c r="AB89" s="24">
        <v>31198</v>
      </c>
      <c r="AC89" s="25">
        <v>30652</v>
      </c>
      <c r="AD89" s="61"/>
      <c r="AE89" s="24">
        <f t="shared" si="33"/>
        <v>99795</v>
      </c>
      <c r="AF89" s="25">
        <f t="shared" si="34"/>
        <v>70463</v>
      </c>
      <c r="AG89" s="25">
        <v>45728</v>
      </c>
      <c r="AH89" s="25">
        <v>41058</v>
      </c>
      <c r="AI89" s="25">
        <v>37262</v>
      </c>
      <c r="AJ89" s="26">
        <v>31940</v>
      </c>
    </row>
    <row r="90" spans="1:36" ht="19.649999999999999" customHeight="1">
      <c r="A90" s="79"/>
      <c r="B90" s="79" t="s">
        <v>73</v>
      </c>
      <c r="C90" s="79"/>
      <c r="D90" s="24">
        <v>82903</v>
      </c>
      <c r="E90" s="25">
        <v>80451</v>
      </c>
      <c r="F90" s="25">
        <v>80814</v>
      </c>
      <c r="G90" s="25">
        <v>43514</v>
      </c>
      <c r="H90" s="24">
        <v>47634</v>
      </c>
      <c r="I90" s="25">
        <v>45678</v>
      </c>
      <c r="J90" s="25">
        <v>44160</v>
      </c>
      <c r="K90" s="26">
        <v>49624</v>
      </c>
      <c r="L90" s="24">
        <v>49334</v>
      </c>
      <c r="M90" s="25">
        <v>48265</v>
      </c>
      <c r="N90" s="25">
        <v>48404</v>
      </c>
      <c r="O90" s="26">
        <v>42767</v>
      </c>
      <c r="P90" s="24">
        <v>44624</v>
      </c>
      <c r="Q90" s="25">
        <v>69527</v>
      </c>
      <c r="R90" s="25">
        <v>68500</v>
      </c>
      <c r="S90" s="26">
        <v>78445</v>
      </c>
      <c r="T90" s="24">
        <v>84876</v>
      </c>
      <c r="U90" s="88">
        <v>62092</v>
      </c>
      <c r="V90" s="88">
        <v>61138</v>
      </c>
      <c r="W90" s="26">
        <v>59569</v>
      </c>
      <c r="X90" s="24">
        <v>59375</v>
      </c>
      <c r="Y90" s="25">
        <v>60858</v>
      </c>
      <c r="Z90" s="25">
        <v>62304</v>
      </c>
      <c r="AA90" s="25">
        <v>64710</v>
      </c>
      <c r="AB90" s="24">
        <v>67504</v>
      </c>
      <c r="AC90" s="25">
        <v>65504</v>
      </c>
      <c r="AD90" s="61"/>
      <c r="AE90" s="24">
        <f t="shared" si="33"/>
        <v>43514</v>
      </c>
      <c r="AF90" s="25">
        <f t="shared" si="34"/>
        <v>49624</v>
      </c>
      <c r="AG90" s="25">
        <v>42767</v>
      </c>
      <c r="AH90" s="25">
        <v>78445</v>
      </c>
      <c r="AI90" s="25">
        <v>59569</v>
      </c>
      <c r="AJ90" s="26">
        <v>64710</v>
      </c>
    </row>
    <row r="91" spans="1:36" ht="19.649999999999999" customHeight="1">
      <c r="A91" s="29"/>
      <c r="B91" s="29"/>
      <c r="C91" s="29" t="s">
        <v>74</v>
      </c>
      <c r="D91" s="30">
        <f t="shared" ref="D91:E91" si="39">SUM(D87:D90)</f>
        <v>954346</v>
      </c>
      <c r="E91" s="31">
        <f t="shared" si="39"/>
        <v>961949</v>
      </c>
      <c r="F91" s="31">
        <v>997811</v>
      </c>
      <c r="G91" s="31">
        <f t="shared" ref="G91:H91" si="40">SUM(G87:G90)</f>
        <v>310222</v>
      </c>
      <c r="H91" s="30">
        <f t="shared" si="40"/>
        <v>364411</v>
      </c>
      <c r="I91" s="31">
        <v>355221</v>
      </c>
      <c r="J91" s="31">
        <v>356749</v>
      </c>
      <c r="K91" s="32">
        <v>306500</v>
      </c>
      <c r="L91" s="30">
        <v>283748</v>
      </c>
      <c r="M91" s="31">
        <v>274360</v>
      </c>
      <c r="N91" s="31">
        <v>272331</v>
      </c>
      <c r="O91" s="32">
        <v>253981</v>
      </c>
      <c r="P91" s="30">
        <v>296473</v>
      </c>
      <c r="Q91" s="31">
        <v>356103</v>
      </c>
      <c r="R91" s="31">
        <v>339522</v>
      </c>
      <c r="S91" s="32">
        <v>362760</v>
      </c>
      <c r="T91" s="30">
        <v>344524</v>
      </c>
      <c r="U91" s="31">
        <f>SUM(U87:U90)</f>
        <v>324502</v>
      </c>
      <c r="V91" s="31">
        <v>322199</v>
      </c>
      <c r="W91" s="32">
        <v>341773</v>
      </c>
      <c r="X91" s="30">
        <v>402105</v>
      </c>
      <c r="Y91" s="31">
        <v>407668</v>
      </c>
      <c r="Z91" s="31">
        <v>412493</v>
      </c>
      <c r="AA91" s="31">
        <v>442525</v>
      </c>
      <c r="AB91" s="30">
        <f t="shared" ref="AB91" si="41">SUM(AB87:AB90)</f>
        <v>448341</v>
      </c>
      <c r="AC91" s="31">
        <f t="shared" ref="AC91" si="42">SUM(AC87:AC90)</f>
        <v>444124</v>
      </c>
      <c r="AD91" s="61"/>
      <c r="AE91" s="30">
        <f t="shared" si="33"/>
        <v>310222</v>
      </c>
      <c r="AF91" s="31">
        <f t="shared" si="34"/>
        <v>306500</v>
      </c>
      <c r="AG91" s="31">
        <v>253981</v>
      </c>
      <c r="AH91" s="31">
        <v>362760</v>
      </c>
      <c r="AI91" s="31">
        <v>341773</v>
      </c>
      <c r="AJ91" s="32">
        <v>442525</v>
      </c>
    </row>
    <row r="92" spans="1:36" ht="19.649999999999999" customHeight="1">
      <c r="B92" s="3" t="s">
        <v>75</v>
      </c>
      <c r="D92" s="24">
        <v>135364</v>
      </c>
      <c r="E92" s="25">
        <v>135364</v>
      </c>
      <c r="F92" s="25">
        <v>135364</v>
      </c>
      <c r="G92" s="25">
        <v>135364</v>
      </c>
      <c r="H92" s="24">
        <v>135364</v>
      </c>
      <c r="I92" s="25">
        <v>135364</v>
      </c>
      <c r="J92" s="25">
        <v>135364</v>
      </c>
      <c r="K92" s="26">
        <v>135364</v>
      </c>
      <c r="L92" s="24">
        <v>135364</v>
      </c>
      <c r="M92" s="25">
        <v>135364</v>
      </c>
      <c r="N92" s="25">
        <v>135364</v>
      </c>
      <c r="O92" s="26">
        <v>135364</v>
      </c>
      <c r="P92" s="24">
        <v>135364</v>
      </c>
      <c r="Q92" s="25">
        <v>135364</v>
      </c>
      <c r="R92" s="25">
        <v>135364</v>
      </c>
      <c r="S92" s="26">
        <v>135364</v>
      </c>
      <c r="T92" s="24">
        <v>135364</v>
      </c>
      <c r="U92" s="25">
        <v>135364</v>
      </c>
      <c r="V92" s="25">
        <v>135364</v>
      </c>
      <c r="W92" s="26">
        <v>135364</v>
      </c>
      <c r="X92" s="24">
        <v>135364</v>
      </c>
      <c r="Y92" s="25">
        <v>135364</v>
      </c>
      <c r="Z92" s="25">
        <v>135364</v>
      </c>
      <c r="AA92" s="25">
        <v>135364</v>
      </c>
      <c r="AB92" s="24">
        <v>135364</v>
      </c>
      <c r="AC92" s="25">
        <v>135364</v>
      </c>
      <c r="AD92" s="61"/>
      <c r="AE92" s="24">
        <f t="shared" si="33"/>
        <v>135364</v>
      </c>
      <c r="AF92" s="25">
        <f t="shared" si="34"/>
        <v>135364</v>
      </c>
      <c r="AG92" s="25">
        <v>135364</v>
      </c>
      <c r="AH92" s="25">
        <v>135364</v>
      </c>
      <c r="AI92" s="37">
        <v>135364</v>
      </c>
      <c r="AJ92" s="26">
        <v>135364</v>
      </c>
    </row>
    <row r="93" spans="1:36" ht="19.649999999999999" customHeight="1">
      <c r="B93" s="3" t="s">
        <v>76</v>
      </c>
      <c r="D93" s="24">
        <v>186130</v>
      </c>
      <c r="E93" s="25">
        <v>186142</v>
      </c>
      <c r="F93" s="25">
        <v>186155</v>
      </c>
      <c r="G93" s="25">
        <v>186173</v>
      </c>
      <c r="H93" s="24">
        <v>186189</v>
      </c>
      <c r="I93" s="25">
        <v>186205</v>
      </c>
      <c r="J93" s="25">
        <v>186217</v>
      </c>
      <c r="K93" s="26">
        <v>186231</v>
      </c>
      <c r="L93" s="24">
        <v>186242</v>
      </c>
      <c r="M93" s="25">
        <v>186177</v>
      </c>
      <c r="N93" s="25">
        <v>186117</v>
      </c>
      <c r="O93" s="26">
        <v>180942</v>
      </c>
      <c r="P93" s="24">
        <v>180965</v>
      </c>
      <c r="Q93" s="25">
        <v>160137</v>
      </c>
      <c r="R93" s="25">
        <v>158529</v>
      </c>
      <c r="S93" s="26">
        <v>158529</v>
      </c>
      <c r="T93" s="24">
        <v>158592</v>
      </c>
      <c r="U93" s="25">
        <v>158392</v>
      </c>
      <c r="V93" s="25">
        <v>158424</v>
      </c>
      <c r="W93" s="26">
        <v>158455</v>
      </c>
      <c r="X93" s="24">
        <v>158482</v>
      </c>
      <c r="Y93" s="25">
        <v>165112</v>
      </c>
      <c r="Z93" s="25">
        <v>165138</v>
      </c>
      <c r="AA93" s="25">
        <v>180947</v>
      </c>
      <c r="AB93" s="24">
        <v>180973</v>
      </c>
      <c r="AC93" s="26">
        <v>181078</v>
      </c>
      <c r="AD93" s="61"/>
      <c r="AE93" s="24">
        <f t="shared" si="33"/>
        <v>186173</v>
      </c>
      <c r="AF93" s="25">
        <f t="shared" si="34"/>
        <v>186231</v>
      </c>
      <c r="AG93" s="25">
        <v>180942</v>
      </c>
      <c r="AH93" s="25">
        <v>158529</v>
      </c>
      <c r="AI93" s="25">
        <v>158455</v>
      </c>
      <c r="AJ93" s="26">
        <v>180947</v>
      </c>
    </row>
    <row r="94" spans="1:36" ht="19.649999999999999" customHeight="1">
      <c r="B94" s="3" t="s">
        <v>77</v>
      </c>
      <c r="D94" s="61">
        <v>-37385</v>
      </c>
      <c r="E94" s="27">
        <v>-37790</v>
      </c>
      <c r="F94" s="27">
        <v>-37793</v>
      </c>
      <c r="G94" s="27">
        <v>-37795</v>
      </c>
      <c r="H94" s="61">
        <v>-37845</v>
      </c>
      <c r="I94" s="27">
        <v>-37732</v>
      </c>
      <c r="J94" s="27">
        <v>-37732</v>
      </c>
      <c r="K94" s="62">
        <v>-45024</v>
      </c>
      <c r="L94" s="61">
        <v>-70280</v>
      </c>
      <c r="M94" s="27">
        <v>-105321</v>
      </c>
      <c r="N94" s="27">
        <v>-137724</v>
      </c>
      <c r="O94" s="62">
        <v>-460</v>
      </c>
      <c r="P94" s="61">
        <v>-12263</v>
      </c>
      <c r="Q94" s="27">
        <v>-30448</v>
      </c>
      <c r="R94" s="27">
        <v>-433</v>
      </c>
      <c r="S94" s="62">
        <v>-427</v>
      </c>
      <c r="T94" s="61">
        <v>-415</v>
      </c>
      <c r="U94" s="27">
        <v>-398</v>
      </c>
      <c r="V94" s="27">
        <v>-400</v>
      </c>
      <c r="W94" s="62">
        <v>-7926</v>
      </c>
      <c r="X94" s="61">
        <v>-20268</v>
      </c>
      <c r="Y94" s="27">
        <v>-390</v>
      </c>
      <c r="Z94" s="27">
        <v>-30394</v>
      </c>
      <c r="AA94" s="27">
        <v>-734</v>
      </c>
      <c r="AB94" s="61">
        <v>-651</v>
      </c>
      <c r="AC94" s="27">
        <v>-654</v>
      </c>
      <c r="AD94" s="61"/>
      <c r="AE94" s="61">
        <f t="shared" si="33"/>
        <v>-37795</v>
      </c>
      <c r="AF94" s="27">
        <f t="shared" si="34"/>
        <v>-45024</v>
      </c>
      <c r="AG94" s="27">
        <v>-460</v>
      </c>
      <c r="AH94" s="27">
        <v>-427</v>
      </c>
      <c r="AI94" s="27">
        <v>-7926</v>
      </c>
      <c r="AJ94" s="62">
        <v>-734</v>
      </c>
    </row>
    <row r="95" spans="1:36" ht="19.649999999999999" customHeight="1">
      <c r="B95" s="3" t="s">
        <v>78</v>
      </c>
      <c r="D95" s="61">
        <v>56035</v>
      </c>
      <c r="E95" s="27">
        <v>45438</v>
      </c>
      <c r="F95" s="27">
        <v>64300</v>
      </c>
      <c r="G95" s="27">
        <v>41898</v>
      </c>
      <c r="H95" s="61">
        <v>45872</v>
      </c>
      <c r="I95" s="27">
        <v>48715</v>
      </c>
      <c r="J95" s="27">
        <v>56125</v>
      </c>
      <c r="K95" s="62">
        <v>82097</v>
      </c>
      <c r="L95" s="61">
        <v>86084</v>
      </c>
      <c r="M95" s="27">
        <v>84628</v>
      </c>
      <c r="N95" s="27">
        <v>94853</v>
      </c>
      <c r="O95" s="62">
        <v>126341</v>
      </c>
      <c r="P95" s="61">
        <v>170247</v>
      </c>
      <c r="Q95" s="27">
        <v>185026</v>
      </c>
      <c r="R95" s="27">
        <v>153180</v>
      </c>
      <c r="S95" s="62">
        <v>167368</v>
      </c>
      <c r="T95" s="61">
        <v>223505</v>
      </c>
      <c r="U95" s="27">
        <v>235814</v>
      </c>
      <c r="V95" s="27">
        <v>215930</v>
      </c>
      <c r="W95" s="62">
        <v>251687</v>
      </c>
      <c r="X95" s="61">
        <v>299078</v>
      </c>
      <c r="Y95" s="27">
        <v>219376</v>
      </c>
      <c r="Z95" s="27">
        <v>274773</v>
      </c>
      <c r="AA95" s="27">
        <v>242440</v>
      </c>
      <c r="AB95" s="61">
        <v>249486</v>
      </c>
      <c r="AC95" s="27">
        <v>274621</v>
      </c>
      <c r="AD95" s="61"/>
      <c r="AE95" s="61">
        <f t="shared" si="33"/>
        <v>41898</v>
      </c>
      <c r="AF95" s="27">
        <f t="shared" si="34"/>
        <v>82097</v>
      </c>
      <c r="AG95" s="27">
        <v>126341</v>
      </c>
      <c r="AH95" s="27">
        <v>167368</v>
      </c>
      <c r="AI95" s="27">
        <v>251687</v>
      </c>
      <c r="AJ95" s="62">
        <v>242440</v>
      </c>
    </row>
    <row r="96" spans="1:36" ht="19.649999999999999" customHeight="1">
      <c r="A96" s="79"/>
      <c r="B96" s="79" t="s">
        <v>79</v>
      </c>
      <c r="C96" s="79"/>
      <c r="D96" s="98">
        <v>581077</v>
      </c>
      <c r="E96" s="88">
        <v>594764</v>
      </c>
      <c r="F96" s="88">
        <v>595652</v>
      </c>
      <c r="G96" s="88">
        <v>594731</v>
      </c>
      <c r="H96" s="98">
        <v>566936</v>
      </c>
      <c r="I96" s="88">
        <v>563393</v>
      </c>
      <c r="J96" s="88">
        <v>557903</v>
      </c>
      <c r="K96" s="99">
        <v>561578</v>
      </c>
      <c r="L96" s="98">
        <v>561899</v>
      </c>
      <c r="M96" s="88">
        <v>567669</v>
      </c>
      <c r="N96" s="88">
        <v>571627</v>
      </c>
      <c r="O96" s="99">
        <v>459855</v>
      </c>
      <c r="P96" s="98">
        <v>459156</v>
      </c>
      <c r="Q96" s="88">
        <v>465969</v>
      </c>
      <c r="R96" s="88">
        <v>438096</v>
      </c>
      <c r="S96" s="99">
        <v>470722</v>
      </c>
      <c r="T96" s="98">
        <v>468276</v>
      </c>
      <c r="U96" s="88">
        <v>475123</v>
      </c>
      <c r="V96" s="88">
        <v>478596</v>
      </c>
      <c r="W96" s="99">
        <v>501142</v>
      </c>
      <c r="X96" s="98">
        <v>498083</v>
      </c>
      <c r="Y96" s="88">
        <v>470085</v>
      </c>
      <c r="Z96" s="88">
        <v>478000</v>
      </c>
      <c r="AA96" s="88">
        <v>472090</v>
      </c>
      <c r="AB96" s="98">
        <v>470931</v>
      </c>
      <c r="AC96" s="88">
        <v>485699</v>
      </c>
      <c r="AD96" s="61"/>
      <c r="AE96" s="98">
        <f t="shared" si="33"/>
        <v>594731</v>
      </c>
      <c r="AF96" s="88">
        <f t="shared" si="34"/>
        <v>561578</v>
      </c>
      <c r="AG96" s="88">
        <v>459855</v>
      </c>
      <c r="AH96" s="88">
        <v>470722</v>
      </c>
      <c r="AI96" s="88">
        <v>501142</v>
      </c>
      <c r="AJ96" s="99">
        <v>472090</v>
      </c>
    </row>
    <row r="97" spans="1:36" ht="19.649999999999999" customHeight="1">
      <c r="A97" s="79"/>
      <c r="B97" s="79"/>
      <c r="C97" s="79" t="s">
        <v>80</v>
      </c>
      <c r="D97" s="98">
        <f t="shared" ref="D97:E97" si="43">SUM(D92:D96)</f>
        <v>921221</v>
      </c>
      <c r="E97" s="88">
        <f t="shared" si="43"/>
        <v>923918</v>
      </c>
      <c r="F97" s="88">
        <v>943678</v>
      </c>
      <c r="G97" s="88">
        <f t="shared" ref="G97:H97" si="44">SUM(G92:G96)</f>
        <v>920371</v>
      </c>
      <c r="H97" s="98">
        <f t="shared" si="44"/>
        <v>896516</v>
      </c>
      <c r="I97" s="88">
        <v>895945</v>
      </c>
      <c r="J97" s="88">
        <v>897877</v>
      </c>
      <c r="K97" s="99">
        <v>920246</v>
      </c>
      <c r="L97" s="98">
        <v>899309</v>
      </c>
      <c r="M97" s="88">
        <v>868517</v>
      </c>
      <c r="N97" s="88">
        <v>850237</v>
      </c>
      <c r="O97" s="99">
        <v>902042</v>
      </c>
      <c r="P97" s="98">
        <v>933469</v>
      </c>
      <c r="Q97" s="88">
        <v>916048</v>
      </c>
      <c r="R97" s="88">
        <v>884736</v>
      </c>
      <c r="S97" s="99">
        <v>931556</v>
      </c>
      <c r="T97" s="98">
        <v>985322</v>
      </c>
      <c r="U97" s="88">
        <f>SUM(U92:U96)</f>
        <v>1004295</v>
      </c>
      <c r="V97" s="88">
        <v>987914</v>
      </c>
      <c r="W97" s="99">
        <v>1038722</v>
      </c>
      <c r="X97" s="98">
        <v>1070739</v>
      </c>
      <c r="Y97" s="88">
        <v>989547</v>
      </c>
      <c r="Z97" s="88">
        <v>1022881</v>
      </c>
      <c r="AA97" s="88">
        <v>1030107</v>
      </c>
      <c r="AB97" s="98">
        <f t="shared" ref="AB97" si="45">SUM(AB92:AB96)</f>
        <v>1036103</v>
      </c>
      <c r="AC97" s="88">
        <f t="shared" ref="AC97" si="46">SUM(AC92:AC96)</f>
        <v>1076108</v>
      </c>
      <c r="AD97" s="61"/>
      <c r="AE97" s="98">
        <f t="shared" si="33"/>
        <v>920371</v>
      </c>
      <c r="AF97" s="88">
        <f t="shared" si="34"/>
        <v>920246</v>
      </c>
      <c r="AG97" s="88">
        <v>902042</v>
      </c>
      <c r="AH97" s="31">
        <v>931556</v>
      </c>
      <c r="AI97" s="88">
        <v>1038722</v>
      </c>
      <c r="AJ97" s="99">
        <v>1030107</v>
      </c>
    </row>
    <row r="98" spans="1:36" ht="19.649999999999999" customHeight="1">
      <c r="A98" s="29"/>
      <c r="B98" s="29" t="s">
        <v>81</v>
      </c>
      <c r="C98" s="29"/>
      <c r="D98" s="100">
        <v>85531</v>
      </c>
      <c r="E98" s="101">
        <v>87016</v>
      </c>
      <c r="F98" s="101">
        <v>88427</v>
      </c>
      <c r="G98" s="101">
        <v>88156</v>
      </c>
      <c r="H98" s="100">
        <v>3499</v>
      </c>
      <c r="I98" s="101">
        <v>3522</v>
      </c>
      <c r="J98" s="101">
        <v>3518</v>
      </c>
      <c r="K98" s="102">
        <v>3606</v>
      </c>
      <c r="L98" s="100">
        <v>3640</v>
      </c>
      <c r="M98" s="101">
        <v>3684</v>
      </c>
      <c r="N98" s="101">
        <v>3657</v>
      </c>
      <c r="O98" s="102">
        <v>3783</v>
      </c>
      <c r="P98" s="100">
        <v>3788</v>
      </c>
      <c r="Q98" s="101">
        <v>19000</v>
      </c>
      <c r="R98" s="101">
        <v>18974</v>
      </c>
      <c r="S98" s="102">
        <v>26526</v>
      </c>
      <c r="T98" s="100">
        <v>25808</v>
      </c>
      <c r="U98" s="101">
        <v>25957</v>
      </c>
      <c r="V98" s="101">
        <v>25756</v>
      </c>
      <c r="W98" s="102">
        <v>26405</v>
      </c>
      <c r="X98" s="100">
        <v>26066</v>
      </c>
      <c r="Y98" s="101">
        <v>43237</v>
      </c>
      <c r="Z98" s="101">
        <v>45551</v>
      </c>
      <c r="AA98" s="101">
        <v>24643</v>
      </c>
      <c r="AB98" s="100">
        <v>22972</v>
      </c>
      <c r="AC98" s="101">
        <v>24109</v>
      </c>
      <c r="AD98" s="61"/>
      <c r="AE98" s="100">
        <f t="shared" si="33"/>
        <v>88156</v>
      </c>
      <c r="AF98" s="101">
        <f t="shared" si="34"/>
        <v>3606</v>
      </c>
      <c r="AG98" s="101">
        <v>3783</v>
      </c>
      <c r="AH98" s="101">
        <v>26526</v>
      </c>
      <c r="AI98" s="101">
        <v>26405</v>
      </c>
      <c r="AJ98" s="102">
        <v>24643</v>
      </c>
    </row>
    <row r="99" spans="1:36" ht="19.649999999999999" customHeight="1">
      <c r="C99" s="3" t="s">
        <v>82</v>
      </c>
      <c r="D99" s="24">
        <f t="shared" ref="D99:E99" si="47">SUM(D97:D98)</f>
        <v>1006752</v>
      </c>
      <c r="E99" s="25">
        <f t="shared" si="47"/>
        <v>1010934</v>
      </c>
      <c r="F99" s="25">
        <v>1032105</v>
      </c>
      <c r="G99" s="25">
        <f t="shared" ref="G99:H99" si="48">SUM(G97:G98)</f>
        <v>1008527</v>
      </c>
      <c r="H99" s="24">
        <f t="shared" si="48"/>
        <v>900015</v>
      </c>
      <c r="I99" s="25">
        <v>899467</v>
      </c>
      <c r="J99" s="25">
        <v>901395</v>
      </c>
      <c r="K99" s="26">
        <v>923852</v>
      </c>
      <c r="L99" s="24">
        <v>902949</v>
      </c>
      <c r="M99" s="25">
        <v>872201</v>
      </c>
      <c r="N99" s="25">
        <v>853894</v>
      </c>
      <c r="O99" s="26">
        <v>905825</v>
      </c>
      <c r="P99" s="24">
        <v>937257</v>
      </c>
      <c r="Q99" s="25">
        <v>935048</v>
      </c>
      <c r="R99" s="25">
        <v>903710</v>
      </c>
      <c r="S99" s="26">
        <v>958082</v>
      </c>
      <c r="T99" s="24">
        <v>1011130</v>
      </c>
      <c r="U99" s="25">
        <f t="shared" ref="U99" si="49">SUM(U97:U98)</f>
        <v>1030252</v>
      </c>
      <c r="V99" s="25">
        <v>1013670</v>
      </c>
      <c r="W99" s="26">
        <v>1065127</v>
      </c>
      <c r="X99" s="36">
        <v>1096805</v>
      </c>
      <c r="Y99" s="25">
        <v>1032784</v>
      </c>
      <c r="Z99" s="25">
        <v>1068432</v>
      </c>
      <c r="AA99" s="25">
        <v>1054750</v>
      </c>
      <c r="AB99" s="24">
        <f t="shared" ref="AB99" si="50">SUM(AB97:AB98)</f>
        <v>1059075</v>
      </c>
      <c r="AC99" s="25">
        <f t="shared" ref="AC99" si="51">SUM(AC97:AC98)</f>
        <v>1100217</v>
      </c>
      <c r="AD99" s="61"/>
      <c r="AE99" s="24">
        <f t="shared" si="33"/>
        <v>1008527</v>
      </c>
      <c r="AF99" s="25">
        <f t="shared" si="34"/>
        <v>923852</v>
      </c>
      <c r="AG99" s="25">
        <v>905825</v>
      </c>
      <c r="AH99" s="25">
        <v>958082</v>
      </c>
      <c r="AI99" s="25">
        <v>1065127</v>
      </c>
      <c r="AJ99" s="26">
        <v>1054750</v>
      </c>
    </row>
    <row r="100" spans="1:36" ht="19.649999999999999" customHeight="1" thickBot="1">
      <c r="A100" s="89"/>
      <c r="B100" s="89"/>
      <c r="C100" s="89" t="s">
        <v>83</v>
      </c>
      <c r="D100" s="90">
        <f t="shared" ref="D100:E100" si="52">SUM(D86,D91,D99)</f>
        <v>2777661</v>
      </c>
      <c r="E100" s="91">
        <f t="shared" si="52"/>
        <v>2851991</v>
      </c>
      <c r="F100" s="91">
        <v>2873346</v>
      </c>
      <c r="G100" s="91">
        <f t="shared" ref="G100:H100" si="53">SUM(G86,G91,G99)</f>
        <v>2867645</v>
      </c>
      <c r="H100" s="90">
        <f t="shared" si="53"/>
        <v>1821869</v>
      </c>
      <c r="I100" s="91">
        <v>1837549</v>
      </c>
      <c r="J100" s="91">
        <v>1846889</v>
      </c>
      <c r="K100" s="92">
        <v>1887868</v>
      </c>
      <c r="L100" s="90">
        <v>1835368</v>
      </c>
      <c r="M100" s="91">
        <v>1780831</v>
      </c>
      <c r="N100" s="91">
        <v>1760503</v>
      </c>
      <c r="O100" s="92">
        <v>1853254</v>
      </c>
      <c r="P100" s="90">
        <v>1930789</v>
      </c>
      <c r="Q100" s="91">
        <v>2060087</v>
      </c>
      <c r="R100" s="91">
        <v>2039598</v>
      </c>
      <c r="S100" s="92">
        <v>2149956</v>
      </c>
      <c r="T100" s="90">
        <v>2213776</v>
      </c>
      <c r="U100" s="91">
        <f t="shared" ref="U100" si="54">SUM(U86,U91,U99)</f>
        <v>2210788</v>
      </c>
      <c r="V100" s="91">
        <v>2207785</v>
      </c>
      <c r="W100" s="92">
        <v>2286175</v>
      </c>
      <c r="X100" s="90">
        <v>2329640</v>
      </c>
      <c r="Y100" s="91">
        <v>2306503</v>
      </c>
      <c r="Z100" s="91">
        <v>2395370</v>
      </c>
      <c r="AA100" s="91">
        <v>2357118</v>
      </c>
      <c r="AB100" s="90">
        <f t="shared" ref="AB100:AC100" si="55">SUM(AB86,AB91,AB99)</f>
        <v>2315813</v>
      </c>
      <c r="AC100" s="91">
        <f t="shared" si="55"/>
        <v>2403256</v>
      </c>
      <c r="AD100" s="61"/>
      <c r="AE100" s="90">
        <f t="shared" si="33"/>
        <v>2867645</v>
      </c>
      <c r="AF100" s="91">
        <f t="shared" si="34"/>
        <v>1887868</v>
      </c>
      <c r="AG100" s="91">
        <v>1853254</v>
      </c>
      <c r="AH100" s="91">
        <v>2149956</v>
      </c>
      <c r="AI100" s="91">
        <v>2286175</v>
      </c>
      <c r="AJ100" s="92">
        <v>2357118</v>
      </c>
    </row>
    <row r="102" spans="1:36" s="4" customFormat="1" ht="15">
      <c r="A102" s="1" t="s">
        <v>84</v>
      </c>
      <c r="B102" s="1"/>
      <c r="C102" s="1"/>
    </row>
    <row r="103" spans="1:36" ht="6" customHeight="1"/>
    <row r="104" spans="1:36" ht="9" customHeight="1">
      <c r="A104" s="5"/>
      <c r="B104" s="5"/>
      <c r="C104" s="5"/>
      <c r="D104" s="6"/>
      <c r="E104" s="5"/>
      <c r="F104" s="5"/>
      <c r="G104" s="5"/>
      <c r="H104" s="6"/>
      <c r="I104" s="5"/>
      <c r="J104" s="5"/>
      <c r="K104" s="7"/>
      <c r="L104" s="6"/>
      <c r="M104" s="5"/>
      <c r="N104" s="5"/>
      <c r="O104" s="7"/>
      <c r="P104" s="6"/>
      <c r="Q104" s="5"/>
      <c r="R104" s="5"/>
      <c r="S104" s="7"/>
      <c r="T104" s="6"/>
      <c r="U104" s="5"/>
      <c r="V104" s="5"/>
      <c r="W104" s="284"/>
      <c r="X104" s="6"/>
      <c r="Y104" s="5"/>
      <c r="Z104" s="5"/>
      <c r="AA104" s="5"/>
      <c r="AB104" s="325"/>
      <c r="AC104" s="334"/>
      <c r="AD104" s="204"/>
      <c r="AE104" s="6"/>
      <c r="AF104" s="5"/>
      <c r="AG104" s="5"/>
      <c r="AH104" s="5"/>
      <c r="AI104" s="322"/>
      <c r="AJ104" s="284"/>
    </row>
    <row r="105" spans="1:36" ht="15">
      <c r="D105" s="103" t="str">
        <f>D4</f>
        <v>FY2019</v>
      </c>
      <c r="E105" s="79"/>
      <c r="F105" s="79"/>
      <c r="G105" s="79"/>
      <c r="H105" s="103" t="str">
        <f>H4</f>
        <v>FY2020</v>
      </c>
      <c r="I105" s="79"/>
      <c r="J105" s="79"/>
      <c r="K105" s="80"/>
      <c r="L105" s="103" t="str">
        <f>L4</f>
        <v>FY2021</v>
      </c>
      <c r="M105" s="79"/>
      <c r="N105" s="79"/>
      <c r="O105" s="80"/>
      <c r="P105" s="103" t="str">
        <f>P4</f>
        <v>FY2022</v>
      </c>
      <c r="Q105" s="79"/>
      <c r="R105" s="79"/>
      <c r="S105" s="80"/>
      <c r="T105" s="103" t="str">
        <f>T4</f>
        <v>FY2023</v>
      </c>
      <c r="U105" s="79"/>
      <c r="V105" s="79"/>
      <c r="W105" s="292"/>
      <c r="X105" s="298" t="s">
        <v>205</v>
      </c>
      <c r="Y105" s="300"/>
      <c r="Z105" s="300"/>
      <c r="AA105" s="300"/>
      <c r="AB105" s="298" t="s">
        <v>207</v>
      </c>
      <c r="AC105" s="304"/>
      <c r="AD105" s="204"/>
      <c r="AE105" s="207" t="str">
        <f>AE4</f>
        <v>FY2019</v>
      </c>
      <c r="AF105" s="11" t="str">
        <f>AF4</f>
        <v>FY2020</v>
      </c>
      <c r="AG105" s="11" t="str">
        <f>AG4</f>
        <v>FY2021</v>
      </c>
      <c r="AH105" s="11" t="str">
        <f>AH4</f>
        <v>FY2022</v>
      </c>
      <c r="AI105" s="309" t="str">
        <f>AI4</f>
        <v>FY2023</v>
      </c>
      <c r="AJ105" s="272" t="s">
        <v>206</v>
      </c>
    </row>
    <row r="106" spans="1:36" ht="19.649999999999999" customHeight="1">
      <c r="A106" s="79"/>
      <c r="B106" s="79"/>
      <c r="C106" s="79"/>
      <c r="D106" s="12" t="s">
        <v>9</v>
      </c>
      <c r="E106" s="13" t="str">
        <f>E5</f>
        <v>Q2</v>
      </c>
      <c r="F106" s="13" t="s">
        <v>11</v>
      </c>
      <c r="G106" s="13" t="str">
        <f>G5</f>
        <v>Q4</v>
      </c>
      <c r="H106" s="12" t="s">
        <v>9</v>
      </c>
      <c r="I106" s="13" t="str">
        <f>I5</f>
        <v>Q2</v>
      </c>
      <c r="J106" s="13" t="str">
        <f>J5</f>
        <v>Q3</v>
      </c>
      <c r="K106" s="14" t="str">
        <f>K5</f>
        <v>Q4</v>
      </c>
      <c r="L106" s="12" t="s">
        <v>9</v>
      </c>
      <c r="M106" s="13" t="str">
        <f>M5</f>
        <v>Q2</v>
      </c>
      <c r="N106" s="13" t="s">
        <v>11</v>
      </c>
      <c r="O106" s="14" t="str">
        <f>O5</f>
        <v>Q4</v>
      </c>
      <c r="P106" s="12" t="s">
        <v>9</v>
      </c>
      <c r="Q106" s="13" t="str">
        <f>Q5</f>
        <v>Q2</v>
      </c>
      <c r="R106" s="13" t="s">
        <v>11</v>
      </c>
      <c r="S106" s="14" t="str">
        <f>S5</f>
        <v>Q4</v>
      </c>
      <c r="T106" s="12" t="s">
        <v>9</v>
      </c>
      <c r="U106" s="13" t="s">
        <v>10</v>
      </c>
      <c r="V106" s="13" t="s">
        <v>11</v>
      </c>
      <c r="W106" s="271" t="s">
        <v>12</v>
      </c>
      <c r="X106" s="12" t="s">
        <v>9</v>
      </c>
      <c r="Y106" s="13" t="s">
        <v>10</v>
      </c>
      <c r="Z106" s="13" t="s">
        <v>11</v>
      </c>
      <c r="AA106" s="13" t="s">
        <v>12</v>
      </c>
      <c r="AB106" s="12" t="s">
        <v>9</v>
      </c>
      <c r="AC106" s="13" t="s">
        <v>10</v>
      </c>
      <c r="AD106" s="204"/>
      <c r="AE106" s="209"/>
      <c r="AF106" s="15"/>
      <c r="AG106" s="15"/>
      <c r="AH106" s="15"/>
      <c r="AI106" s="323"/>
      <c r="AJ106" s="285"/>
    </row>
    <row r="107" spans="1:36" ht="19.649999999999999" customHeight="1">
      <c r="A107" s="29" t="s">
        <v>85</v>
      </c>
      <c r="B107" s="29"/>
      <c r="C107" s="29"/>
      <c r="D107" s="104">
        <v>23362</v>
      </c>
      <c r="E107" s="105">
        <v>6892</v>
      </c>
      <c r="F107" s="105">
        <v>28616</v>
      </c>
      <c r="G107" s="105">
        <v>57831</v>
      </c>
      <c r="H107" s="104">
        <v>27358</v>
      </c>
      <c r="I107" s="105">
        <v>2201</v>
      </c>
      <c r="J107" s="105">
        <v>43130</v>
      </c>
      <c r="K107" s="106">
        <v>54273</v>
      </c>
      <c r="L107" s="104">
        <v>47867</v>
      </c>
      <c r="M107" s="105">
        <v>-7120</v>
      </c>
      <c r="N107" s="105">
        <v>-2144</v>
      </c>
      <c r="O107" s="106">
        <v>43859</v>
      </c>
      <c r="P107" s="104">
        <v>19847</v>
      </c>
      <c r="Q107" s="105">
        <v>-23562</v>
      </c>
      <c r="R107" s="105">
        <v>10183</v>
      </c>
      <c r="S107" s="106">
        <v>60240</v>
      </c>
      <c r="T107" s="104">
        <v>34478</v>
      </c>
      <c r="U107" s="105">
        <v>-3077</v>
      </c>
      <c r="V107" s="105">
        <v>30834</v>
      </c>
      <c r="W107" s="287">
        <v>63382</v>
      </c>
      <c r="X107" s="104">
        <v>55128</v>
      </c>
      <c r="Y107" s="105">
        <v>-2922</v>
      </c>
      <c r="Z107" s="105">
        <v>19562</v>
      </c>
      <c r="AA107" s="105">
        <v>65109</v>
      </c>
      <c r="AB107" s="104">
        <v>22679</v>
      </c>
      <c r="AC107" s="105">
        <v>6762</v>
      </c>
      <c r="AD107" s="61"/>
      <c r="AE107" s="104">
        <f t="shared" ref="AE107:AE109" si="56">SUM(D107:G107)</f>
        <v>116701</v>
      </c>
      <c r="AF107" s="105">
        <f t="shared" ref="AF107:AF109" si="57">SUM(H107:K107)</f>
        <v>126962</v>
      </c>
      <c r="AG107" s="105">
        <v>82462</v>
      </c>
      <c r="AH107" s="105">
        <v>66708</v>
      </c>
      <c r="AI107" s="324">
        <v>125617</v>
      </c>
      <c r="AJ107" s="287">
        <v>136877</v>
      </c>
    </row>
    <row r="108" spans="1:36" ht="19.649999999999999" customHeight="1">
      <c r="A108" s="29" t="s">
        <v>86</v>
      </c>
      <c r="B108" s="29"/>
      <c r="C108" s="29"/>
      <c r="D108" s="104">
        <v>-29403</v>
      </c>
      <c r="E108" s="105">
        <v>-54420</v>
      </c>
      <c r="F108" s="105">
        <v>-41379</v>
      </c>
      <c r="G108" s="105">
        <v>-39389</v>
      </c>
      <c r="H108" s="104">
        <v>-11459</v>
      </c>
      <c r="I108" s="105">
        <v>-19883</v>
      </c>
      <c r="J108" s="105">
        <v>-14120</v>
      </c>
      <c r="K108" s="106">
        <v>-18097</v>
      </c>
      <c r="L108" s="104">
        <v>-14088</v>
      </c>
      <c r="M108" s="105">
        <v>-15791</v>
      </c>
      <c r="N108" s="105">
        <v>-4115</v>
      </c>
      <c r="O108" s="106">
        <v>-25361</v>
      </c>
      <c r="P108" s="104">
        <v>-14510</v>
      </c>
      <c r="Q108" s="105">
        <v>-67219</v>
      </c>
      <c r="R108" s="105">
        <v>-22426</v>
      </c>
      <c r="S108" s="106">
        <v>-29784</v>
      </c>
      <c r="T108" s="104">
        <v>-31030</v>
      </c>
      <c r="U108" s="105">
        <v>-19343</v>
      </c>
      <c r="V108" s="105">
        <v>-20517</v>
      </c>
      <c r="W108" s="287">
        <v>-26932</v>
      </c>
      <c r="X108" s="104">
        <v>-23606</v>
      </c>
      <c r="Y108" s="105">
        <v>-3684</v>
      </c>
      <c r="Z108" s="105">
        <v>-27995</v>
      </c>
      <c r="AA108" s="105">
        <v>-24076</v>
      </c>
      <c r="AB108" s="104">
        <v>-15898</v>
      </c>
      <c r="AC108" s="105">
        <v>-19865</v>
      </c>
      <c r="AD108" s="61"/>
      <c r="AE108" s="104">
        <f t="shared" si="56"/>
        <v>-164591</v>
      </c>
      <c r="AF108" s="105">
        <f t="shared" si="57"/>
        <v>-63559</v>
      </c>
      <c r="AG108" s="105">
        <v>-59355</v>
      </c>
      <c r="AH108" s="105">
        <v>-133939</v>
      </c>
      <c r="AI108" s="324">
        <v>-97822</v>
      </c>
      <c r="AJ108" s="287">
        <v>-79361</v>
      </c>
    </row>
    <row r="109" spans="1:36" ht="19.649999999999999" customHeight="1">
      <c r="A109" s="29" t="s">
        <v>87</v>
      </c>
      <c r="B109" s="29"/>
      <c r="C109" s="29"/>
      <c r="D109" s="104">
        <v>4616</v>
      </c>
      <c r="E109" s="105">
        <v>60623</v>
      </c>
      <c r="F109" s="105">
        <v>-7938</v>
      </c>
      <c r="G109" s="105">
        <v>18456</v>
      </c>
      <c r="H109" s="104">
        <v>40464</v>
      </c>
      <c r="I109" s="105">
        <v>25340</v>
      </c>
      <c r="J109" s="105">
        <v>-31044</v>
      </c>
      <c r="K109" s="106">
        <v>-38845</v>
      </c>
      <c r="L109" s="104">
        <v>-43030</v>
      </c>
      <c r="M109" s="105">
        <v>-30316</v>
      </c>
      <c r="N109" s="105">
        <v>-50178</v>
      </c>
      <c r="O109" s="106">
        <v>-8161</v>
      </c>
      <c r="P109" s="104">
        <v>-7039</v>
      </c>
      <c r="Q109" s="105">
        <v>51119</v>
      </c>
      <c r="R109" s="105">
        <v>-5596</v>
      </c>
      <c r="S109" s="106">
        <v>-3030</v>
      </c>
      <c r="T109" s="104">
        <v>-42422</v>
      </c>
      <c r="U109" s="105">
        <v>-6901</v>
      </c>
      <c r="V109" s="105">
        <v>88548</v>
      </c>
      <c r="W109" s="287">
        <v>-43697</v>
      </c>
      <c r="X109" s="104">
        <v>-31940</v>
      </c>
      <c r="Y109" s="105">
        <v>38642</v>
      </c>
      <c r="Z109" s="105">
        <v>-22020</v>
      </c>
      <c r="AA109" s="105">
        <v>-30250</v>
      </c>
      <c r="AB109" s="104">
        <v>-41590</v>
      </c>
      <c r="AC109" s="105">
        <v>30890</v>
      </c>
      <c r="AD109" s="61"/>
      <c r="AE109" s="104">
        <f t="shared" si="56"/>
        <v>75757</v>
      </c>
      <c r="AF109" s="105">
        <f t="shared" si="57"/>
        <v>-4085</v>
      </c>
      <c r="AG109" s="105">
        <v>-131685</v>
      </c>
      <c r="AH109" s="105">
        <v>35454</v>
      </c>
      <c r="AI109" s="324">
        <v>-82922</v>
      </c>
      <c r="AJ109" s="287">
        <v>-45568</v>
      </c>
    </row>
    <row r="110" spans="1:36" ht="19.649999999999999" customHeight="1" thickBot="1">
      <c r="A110" s="89" t="s">
        <v>88</v>
      </c>
      <c r="B110" s="89"/>
      <c r="C110" s="89"/>
      <c r="D110" s="90">
        <v>234039</v>
      </c>
      <c r="E110" s="91">
        <v>245911</v>
      </c>
      <c r="F110" s="91">
        <v>229248</v>
      </c>
      <c r="G110" s="91">
        <v>263688</v>
      </c>
      <c r="H110" s="90">
        <v>320015</v>
      </c>
      <c r="I110" s="91">
        <v>328053</v>
      </c>
      <c r="J110" s="91">
        <v>325887</v>
      </c>
      <c r="K110" s="92">
        <v>330344</v>
      </c>
      <c r="L110" s="90">
        <v>321697</v>
      </c>
      <c r="M110" s="91">
        <v>267779</v>
      </c>
      <c r="N110" s="91">
        <v>214499</v>
      </c>
      <c r="O110" s="92">
        <v>234020</v>
      </c>
      <c r="P110" s="90">
        <v>243421</v>
      </c>
      <c r="Q110" s="91">
        <v>204195</v>
      </c>
      <c r="R110" s="91">
        <v>180631</v>
      </c>
      <c r="S110" s="92">
        <v>210884</v>
      </c>
      <c r="T110" s="90">
        <v>180453</v>
      </c>
      <c r="U110" s="91">
        <v>152944</v>
      </c>
      <c r="V110" s="91">
        <v>171301</v>
      </c>
      <c r="W110" s="286">
        <v>169639</v>
      </c>
      <c r="X110" s="90">
        <v>176215</v>
      </c>
      <c r="Y110" s="91">
        <v>21493</v>
      </c>
      <c r="Z110" s="91">
        <v>175924</v>
      </c>
      <c r="AA110" s="91">
        <v>181862</v>
      </c>
      <c r="AB110" s="90">
        <v>146204</v>
      </c>
      <c r="AC110" s="91">
        <v>166262</v>
      </c>
      <c r="AD110" s="61"/>
      <c r="AE110" s="90">
        <v>262834</v>
      </c>
      <c r="AF110" s="91">
        <v>330344</v>
      </c>
      <c r="AG110" s="91">
        <v>234020</v>
      </c>
      <c r="AH110" s="91">
        <v>210884</v>
      </c>
      <c r="AI110" s="321">
        <v>169639</v>
      </c>
      <c r="AJ110" s="286">
        <v>181862</v>
      </c>
    </row>
    <row r="111" spans="1:36" ht="18.75" customHeight="1" thickBot="1">
      <c r="A111" s="43" t="s">
        <v>18</v>
      </c>
      <c r="B111" s="43"/>
      <c r="C111" s="43"/>
      <c r="D111" s="45">
        <f>D107+D108</f>
        <v>-6041</v>
      </c>
      <c r="E111" s="46">
        <f>E107+E108</f>
        <v>-47528</v>
      </c>
      <c r="F111" s="46">
        <v>-12763</v>
      </c>
      <c r="G111" s="46">
        <f t="shared" ref="G111" si="58">G107+G108</f>
        <v>18442</v>
      </c>
      <c r="H111" s="45">
        <f>H107+H108</f>
        <v>15899</v>
      </c>
      <c r="I111" s="46">
        <f>I107+I108</f>
        <v>-17682</v>
      </c>
      <c r="J111" s="46">
        <v>29010</v>
      </c>
      <c r="K111" s="47">
        <v>36176</v>
      </c>
      <c r="L111" s="45">
        <v>33779</v>
      </c>
      <c r="M111" s="46">
        <v>-22911</v>
      </c>
      <c r="N111" s="46">
        <v>-6259</v>
      </c>
      <c r="O111" s="47">
        <v>18498</v>
      </c>
      <c r="P111" s="45">
        <v>5337</v>
      </c>
      <c r="Q111" s="46">
        <v>-90781</v>
      </c>
      <c r="R111" s="46">
        <v>-12243</v>
      </c>
      <c r="S111" s="47">
        <v>30456</v>
      </c>
      <c r="T111" s="45">
        <f t="shared" ref="T111:U111" si="59">T107+T108</f>
        <v>3448</v>
      </c>
      <c r="U111" s="46">
        <f t="shared" si="59"/>
        <v>-22420</v>
      </c>
      <c r="V111" s="46">
        <v>10317</v>
      </c>
      <c r="W111" s="278">
        <f>W107+W108</f>
        <v>36450</v>
      </c>
      <c r="X111" s="45">
        <v>31522</v>
      </c>
      <c r="Y111" s="46">
        <v>-6606</v>
      </c>
      <c r="Z111" s="46">
        <v>-8433</v>
      </c>
      <c r="AA111" s="46">
        <v>41033</v>
      </c>
      <c r="AB111" s="45">
        <f>AB107+AB108</f>
        <v>6781</v>
      </c>
      <c r="AC111" s="46">
        <f t="shared" ref="AC111" si="60">AC107+AC108</f>
        <v>-13103</v>
      </c>
      <c r="AD111" s="61"/>
      <c r="AE111" s="45">
        <f>SUM(AE107:AE108)</f>
        <v>-47890</v>
      </c>
      <c r="AF111" s="46">
        <f>SUM(AF107:AF108)</f>
        <v>63403</v>
      </c>
      <c r="AG111" s="46">
        <v>23107</v>
      </c>
      <c r="AH111" s="46">
        <v>-67231</v>
      </c>
      <c r="AI111" s="318">
        <v>27795</v>
      </c>
      <c r="AJ111" s="278">
        <v>57516</v>
      </c>
    </row>
    <row r="112" spans="1:36" ht="15.75" customHeight="1">
      <c r="AB112" s="27"/>
      <c r="AC112" s="27"/>
    </row>
    <row r="113" spans="1:36" ht="15">
      <c r="A113" s="1" t="s">
        <v>89</v>
      </c>
      <c r="B113" s="2"/>
      <c r="C113" s="2"/>
    </row>
    <row r="114" spans="1:36" ht="6" customHeight="1">
      <c r="A114" s="4"/>
    </row>
    <row r="115" spans="1:36" ht="9" customHeight="1">
      <c r="A115" s="5"/>
      <c r="B115" s="5"/>
      <c r="C115" s="5"/>
      <c r="D115" s="6"/>
      <c r="E115" s="5"/>
      <c r="F115" s="5"/>
      <c r="G115" s="5"/>
      <c r="H115" s="6"/>
      <c r="I115" s="5"/>
      <c r="J115" s="5"/>
      <c r="K115" s="7"/>
      <c r="L115" s="6"/>
      <c r="M115" s="5"/>
      <c r="N115" s="5"/>
      <c r="O115" s="7"/>
      <c r="P115" s="6"/>
      <c r="Q115" s="5"/>
      <c r="R115" s="5"/>
      <c r="S115" s="7"/>
      <c r="T115" s="6"/>
      <c r="U115" s="5"/>
      <c r="V115" s="5"/>
      <c r="W115" s="7"/>
      <c r="X115" s="6"/>
      <c r="Y115" s="5"/>
      <c r="Z115" s="5"/>
      <c r="AA115" s="5"/>
      <c r="AB115" s="325"/>
      <c r="AC115" s="334"/>
      <c r="AD115" s="204"/>
      <c r="AE115" s="6"/>
      <c r="AF115" s="5"/>
      <c r="AG115" s="5"/>
      <c r="AH115" s="5"/>
      <c r="AI115" s="5"/>
      <c r="AJ115" s="7"/>
    </row>
    <row r="116" spans="1:36" ht="15">
      <c r="D116" s="8" t="str">
        <f>D4</f>
        <v>FY2019</v>
      </c>
      <c r="E116" s="79"/>
      <c r="F116" s="79"/>
      <c r="G116" s="79"/>
      <c r="H116" s="8" t="str">
        <f>H4</f>
        <v>FY2020</v>
      </c>
      <c r="I116" s="79"/>
      <c r="J116" s="79"/>
      <c r="K116" s="80"/>
      <c r="L116" s="8" t="str">
        <f>L4</f>
        <v>FY2021</v>
      </c>
      <c r="M116" s="79"/>
      <c r="N116" s="79"/>
      <c r="O116" s="80"/>
      <c r="P116" s="8" t="str">
        <f>P4</f>
        <v>FY2022</v>
      </c>
      <c r="Q116" s="79"/>
      <c r="R116" s="79"/>
      <c r="S116" s="80"/>
      <c r="T116" s="8" t="str">
        <f>T4</f>
        <v>FY2023</v>
      </c>
      <c r="U116" s="9"/>
      <c r="V116" s="9"/>
      <c r="W116" s="10"/>
      <c r="X116" s="8" t="str">
        <f>X4</f>
        <v>FY2024</v>
      </c>
      <c r="Y116" s="9"/>
      <c r="Z116" s="9"/>
      <c r="AA116" s="9"/>
      <c r="AB116" s="298" t="s">
        <v>207</v>
      </c>
      <c r="AC116" s="304"/>
      <c r="AD116" s="204"/>
      <c r="AE116" s="207" t="str">
        <f>AE4</f>
        <v>FY2019</v>
      </c>
      <c r="AF116" s="11" t="str">
        <f>AF4</f>
        <v>FY2020</v>
      </c>
      <c r="AG116" s="11" t="str">
        <f>AG4</f>
        <v>FY2021</v>
      </c>
      <c r="AH116" s="11" t="str">
        <f>AH4</f>
        <v>FY2022</v>
      </c>
      <c r="AI116" s="11" t="str">
        <f>AI4</f>
        <v>FY2023</v>
      </c>
      <c r="AJ116" s="208" t="s">
        <v>206</v>
      </c>
    </row>
    <row r="117" spans="1:36" ht="19.649999999999999" customHeight="1">
      <c r="A117" s="79"/>
      <c r="B117" s="79"/>
      <c r="C117" s="79"/>
      <c r="D117" s="12" t="s">
        <v>9</v>
      </c>
      <c r="E117" s="13" t="s">
        <v>10</v>
      </c>
      <c r="F117" s="13" t="s">
        <v>11</v>
      </c>
      <c r="G117" s="13" t="str">
        <f>G5</f>
        <v>Q4</v>
      </c>
      <c r="H117" s="12" t="s">
        <v>9</v>
      </c>
      <c r="I117" s="13" t="s">
        <v>10</v>
      </c>
      <c r="J117" s="13" t="str">
        <f>J5</f>
        <v>Q3</v>
      </c>
      <c r="K117" s="14" t="str">
        <f>K5</f>
        <v>Q4</v>
      </c>
      <c r="L117" s="12" t="s">
        <v>9</v>
      </c>
      <c r="M117" s="13" t="s">
        <v>10</v>
      </c>
      <c r="N117" s="13" t="s">
        <v>11</v>
      </c>
      <c r="O117" s="14" t="str">
        <f>O5</f>
        <v>Q4</v>
      </c>
      <c r="P117" s="12" t="s">
        <v>9</v>
      </c>
      <c r="Q117" s="13" t="s">
        <v>10</v>
      </c>
      <c r="R117" s="13" t="s">
        <v>11</v>
      </c>
      <c r="S117" s="14" t="str">
        <f>S5</f>
        <v>Q4</v>
      </c>
      <c r="T117" s="12" t="s">
        <v>9</v>
      </c>
      <c r="U117" s="13" t="s">
        <v>10</v>
      </c>
      <c r="V117" s="13" t="s">
        <v>11</v>
      </c>
      <c r="W117" s="271" t="s">
        <v>12</v>
      </c>
      <c r="X117" s="12" t="s">
        <v>9</v>
      </c>
      <c r="Y117" s="13" t="s">
        <v>10</v>
      </c>
      <c r="Z117" s="13" t="s">
        <v>11</v>
      </c>
      <c r="AA117" s="13" t="s">
        <v>12</v>
      </c>
      <c r="AB117" s="12" t="s">
        <v>9</v>
      </c>
      <c r="AC117" s="13" t="s">
        <v>10</v>
      </c>
      <c r="AD117" s="204"/>
      <c r="AE117" s="209"/>
      <c r="AF117" s="15"/>
      <c r="AG117" s="15"/>
      <c r="AH117" s="15"/>
      <c r="AI117" s="15"/>
      <c r="AJ117" s="210"/>
    </row>
    <row r="118" spans="1:36" s="19" customFormat="1" ht="21.9" customHeight="1">
      <c r="A118" s="63" t="s">
        <v>90</v>
      </c>
      <c r="B118" s="63"/>
      <c r="C118" s="63"/>
      <c r="D118" s="107"/>
      <c r="E118" s="108"/>
      <c r="F118" s="108"/>
      <c r="G118" s="108"/>
      <c r="H118" s="107"/>
      <c r="I118" s="108"/>
      <c r="J118" s="108"/>
      <c r="K118" s="109"/>
      <c r="L118" s="107"/>
      <c r="M118" s="108"/>
      <c r="N118" s="108"/>
      <c r="O118" s="109"/>
      <c r="P118" s="107"/>
      <c r="Q118" s="108"/>
      <c r="R118" s="108"/>
      <c r="S118" s="109"/>
      <c r="T118" s="107"/>
      <c r="U118" s="108"/>
      <c r="V118" s="108"/>
      <c r="W118" s="109"/>
      <c r="X118" s="107"/>
      <c r="Y118" s="108"/>
      <c r="Z118" s="108"/>
      <c r="AA118" s="108"/>
      <c r="AB118" s="326"/>
      <c r="AC118" s="335"/>
      <c r="AD118" s="18"/>
      <c r="AE118" s="107"/>
      <c r="AF118" s="108"/>
      <c r="AG118" s="108"/>
      <c r="AH118" s="108"/>
      <c r="AI118" s="108"/>
      <c r="AJ118" s="109"/>
    </row>
    <row r="119" spans="1:36" s="19" customFormat="1" ht="16.5" customHeight="1">
      <c r="A119" s="5" t="s">
        <v>91</v>
      </c>
      <c r="B119" s="5"/>
      <c r="C119" s="5"/>
      <c r="D119" s="36"/>
      <c r="E119" s="37"/>
      <c r="F119" s="37"/>
      <c r="G119" s="37"/>
      <c r="H119" s="36">
        <v>283745</v>
      </c>
      <c r="I119" s="37">
        <v>335609</v>
      </c>
      <c r="J119" s="37">
        <v>351369</v>
      </c>
      <c r="K119" s="38">
        <v>405890</v>
      </c>
      <c r="L119" s="36">
        <v>346395</v>
      </c>
      <c r="M119" s="37">
        <v>342075</v>
      </c>
      <c r="N119" s="37">
        <v>348599</v>
      </c>
      <c r="O119" s="38">
        <v>391123</v>
      </c>
      <c r="P119" s="36">
        <v>368579</v>
      </c>
      <c r="Q119" s="37">
        <v>404629</v>
      </c>
      <c r="R119" s="37">
        <v>430786</v>
      </c>
      <c r="S119" s="38">
        <v>480362</v>
      </c>
      <c r="T119" s="36">
        <v>427348</v>
      </c>
      <c r="U119" s="37">
        <v>456026</v>
      </c>
      <c r="V119" s="37">
        <v>457992</v>
      </c>
      <c r="W119" s="276">
        <v>511481</v>
      </c>
      <c r="X119" s="36">
        <v>450041</v>
      </c>
      <c r="Y119" s="37">
        <v>473662</v>
      </c>
      <c r="Z119" s="37">
        <v>475647</v>
      </c>
      <c r="AA119" s="37">
        <v>530759</v>
      </c>
      <c r="AB119" s="36">
        <v>443345</v>
      </c>
      <c r="AC119" s="37">
        <v>496526</v>
      </c>
      <c r="AD119" s="206"/>
      <c r="AE119" s="36"/>
      <c r="AF119" s="37">
        <v>1376613</v>
      </c>
      <c r="AG119" s="37">
        <v>1428192</v>
      </c>
      <c r="AH119" s="37">
        <v>1684356</v>
      </c>
      <c r="AI119" s="37">
        <v>1852847</v>
      </c>
      <c r="AJ119" s="38">
        <v>1930109</v>
      </c>
    </row>
    <row r="120" spans="1:36" s="57" customFormat="1" ht="16.5" customHeight="1">
      <c r="A120" s="110" t="s">
        <v>92</v>
      </c>
      <c r="B120" s="110"/>
      <c r="C120" s="111"/>
      <c r="D120" s="24"/>
      <c r="E120" s="25"/>
      <c r="F120" s="25"/>
      <c r="G120" s="25"/>
      <c r="H120" s="24">
        <v>2982</v>
      </c>
      <c r="I120" s="25">
        <v>2324</v>
      </c>
      <c r="J120" s="25">
        <v>3966</v>
      </c>
      <c r="K120" s="26">
        <v>2839</v>
      </c>
      <c r="L120" s="24">
        <v>5932</v>
      </c>
      <c r="M120" s="25">
        <v>6223</v>
      </c>
      <c r="N120" s="25">
        <v>6277</v>
      </c>
      <c r="O120" s="26">
        <v>6034</v>
      </c>
      <c r="P120" s="24">
        <v>7151</v>
      </c>
      <c r="Q120" s="25">
        <v>18244</v>
      </c>
      <c r="R120" s="25">
        <v>29807</v>
      </c>
      <c r="S120" s="26">
        <v>24446</v>
      </c>
      <c r="T120" s="24">
        <v>21334</v>
      </c>
      <c r="U120" s="25">
        <v>23256</v>
      </c>
      <c r="V120" s="25">
        <v>24631</v>
      </c>
      <c r="W120" s="280">
        <v>26722</v>
      </c>
      <c r="X120" s="24">
        <v>20454</v>
      </c>
      <c r="Y120" s="25">
        <v>43925</v>
      </c>
      <c r="Z120" s="25">
        <v>45490</v>
      </c>
      <c r="AA120" s="25">
        <v>47196</v>
      </c>
      <c r="AB120" s="24">
        <v>40801</v>
      </c>
      <c r="AC120" s="25">
        <v>39433</v>
      </c>
      <c r="AD120" s="24"/>
      <c r="AE120" s="24"/>
      <c r="AF120" s="25">
        <v>12111</v>
      </c>
      <c r="AG120" s="25">
        <v>24466</v>
      </c>
      <c r="AH120" s="25">
        <v>79648</v>
      </c>
      <c r="AI120" s="25">
        <v>95943</v>
      </c>
      <c r="AJ120" s="26">
        <v>157065</v>
      </c>
    </row>
    <row r="121" spans="1:36" s="57" customFormat="1" ht="16.5" customHeight="1">
      <c r="A121" s="110" t="s">
        <v>93</v>
      </c>
      <c r="B121" s="110"/>
      <c r="C121" s="111"/>
      <c r="D121" s="24"/>
      <c r="E121" s="25"/>
      <c r="F121" s="25"/>
      <c r="G121" s="25"/>
      <c r="H121" s="24">
        <v>32169</v>
      </c>
      <c r="I121" s="25">
        <v>41043</v>
      </c>
      <c r="J121" s="25">
        <v>41972</v>
      </c>
      <c r="K121" s="26">
        <v>44725</v>
      </c>
      <c r="L121" s="24">
        <v>42550</v>
      </c>
      <c r="M121" s="25">
        <v>44480</v>
      </c>
      <c r="N121" s="25">
        <v>48518</v>
      </c>
      <c r="O121" s="26">
        <v>51534</v>
      </c>
      <c r="P121" s="24">
        <v>51899</v>
      </c>
      <c r="Q121" s="25">
        <v>56983</v>
      </c>
      <c r="R121" s="25">
        <v>60676</v>
      </c>
      <c r="S121" s="26">
        <v>65285</v>
      </c>
      <c r="T121" s="24">
        <v>56603</v>
      </c>
      <c r="U121" s="25">
        <v>63804</v>
      </c>
      <c r="V121" s="25">
        <v>68071</v>
      </c>
      <c r="W121" s="280">
        <v>73649</v>
      </c>
      <c r="X121" s="24">
        <v>69149</v>
      </c>
      <c r="Y121" s="25">
        <v>71089</v>
      </c>
      <c r="Z121" s="25">
        <v>75459</v>
      </c>
      <c r="AA121" s="25">
        <v>76966</v>
      </c>
      <c r="AB121" s="24">
        <v>65134</v>
      </c>
      <c r="AC121" s="25">
        <v>67203</v>
      </c>
      <c r="AD121" s="24"/>
      <c r="AE121" s="24"/>
      <c r="AF121" s="25">
        <v>159909</v>
      </c>
      <c r="AG121" s="25">
        <v>187082</v>
      </c>
      <c r="AH121" s="25">
        <v>234843</v>
      </c>
      <c r="AI121" s="25">
        <v>262127</v>
      </c>
      <c r="AJ121" s="26">
        <v>292663</v>
      </c>
    </row>
    <row r="122" spans="1:36" s="57" customFormat="1" ht="16.5" customHeight="1">
      <c r="A122" s="110" t="s">
        <v>94</v>
      </c>
      <c r="B122" s="110"/>
      <c r="C122" s="111"/>
      <c r="D122" s="24"/>
      <c r="E122" s="25"/>
      <c r="F122" s="25"/>
      <c r="G122" s="25"/>
      <c r="H122" s="24">
        <v>23977</v>
      </c>
      <c r="I122" s="25">
        <v>25207</v>
      </c>
      <c r="J122" s="25">
        <v>28302</v>
      </c>
      <c r="K122" s="26">
        <v>31392</v>
      </c>
      <c r="L122" s="24">
        <v>24391</v>
      </c>
      <c r="M122" s="25">
        <v>21260</v>
      </c>
      <c r="N122" s="25">
        <v>24434</v>
      </c>
      <c r="O122" s="26">
        <v>29412</v>
      </c>
      <c r="P122" s="24">
        <v>26965</v>
      </c>
      <c r="Q122" s="25">
        <v>28834</v>
      </c>
      <c r="R122" s="25">
        <v>27994</v>
      </c>
      <c r="S122" s="26">
        <v>29779</v>
      </c>
      <c r="T122" s="24">
        <v>23103</v>
      </c>
      <c r="U122" s="25">
        <v>28763</v>
      </c>
      <c r="V122" s="25">
        <v>27567</v>
      </c>
      <c r="W122" s="280">
        <v>32310</v>
      </c>
      <c r="X122" s="24">
        <v>26544</v>
      </c>
      <c r="Y122" s="25">
        <v>30901</v>
      </c>
      <c r="Z122" s="25">
        <v>26056</v>
      </c>
      <c r="AA122" s="25">
        <v>28691</v>
      </c>
      <c r="AB122" s="24">
        <v>22756</v>
      </c>
      <c r="AC122" s="25">
        <v>28254</v>
      </c>
      <c r="AD122" s="24"/>
      <c r="AE122" s="24"/>
      <c r="AF122" s="25">
        <v>108878</v>
      </c>
      <c r="AG122" s="25">
        <v>99497</v>
      </c>
      <c r="AH122" s="25">
        <v>113572</v>
      </c>
      <c r="AI122" s="25">
        <v>111743</v>
      </c>
      <c r="AJ122" s="26">
        <v>112192</v>
      </c>
    </row>
    <row r="123" spans="1:36" s="57" customFormat="1" ht="16.5" customHeight="1">
      <c r="A123" s="71" t="s">
        <v>95</v>
      </c>
      <c r="B123" s="71"/>
      <c r="C123" s="71"/>
      <c r="D123" s="98"/>
      <c r="E123" s="88"/>
      <c r="F123" s="88"/>
      <c r="G123" s="99"/>
      <c r="H123" s="98">
        <v>9452</v>
      </c>
      <c r="I123" s="88">
        <v>5440</v>
      </c>
      <c r="J123" s="88">
        <v>5514</v>
      </c>
      <c r="K123" s="99">
        <v>4152</v>
      </c>
      <c r="L123" s="98">
        <v>5536</v>
      </c>
      <c r="M123" s="88">
        <v>4621</v>
      </c>
      <c r="N123" s="88">
        <v>4904</v>
      </c>
      <c r="O123" s="99">
        <v>4289</v>
      </c>
      <c r="P123" s="98">
        <v>4747</v>
      </c>
      <c r="Q123" s="88">
        <v>5504</v>
      </c>
      <c r="R123" s="88">
        <v>5810</v>
      </c>
      <c r="S123" s="99">
        <v>5700</v>
      </c>
      <c r="T123" s="98">
        <v>6213</v>
      </c>
      <c r="U123" s="88">
        <v>6140</v>
      </c>
      <c r="V123" s="88">
        <v>6837</v>
      </c>
      <c r="W123" s="273">
        <v>7137</v>
      </c>
      <c r="X123" s="98">
        <v>8191</v>
      </c>
      <c r="Y123" s="88">
        <v>8632</v>
      </c>
      <c r="Z123" s="88">
        <v>10164</v>
      </c>
      <c r="AA123" s="88">
        <v>8860</v>
      </c>
      <c r="AB123" s="98">
        <v>8762</v>
      </c>
      <c r="AC123" s="88">
        <v>10237</v>
      </c>
      <c r="AD123" s="24"/>
      <c r="AE123" s="98"/>
      <c r="AF123" s="88">
        <v>24558</v>
      </c>
      <c r="AG123" s="88">
        <v>19350</v>
      </c>
      <c r="AH123" s="88">
        <v>21761</v>
      </c>
      <c r="AI123" s="88">
        <v>26327</v>
      </c>
      <c r="AJ123" s="99">
        <v>35847</v>
      </c>
    </row>
    <row r="124" spans="1:36" s="19" customFormat="1" ht="15">
      <c r="A124" s="112" t="s">
        <v>96</v>
      </c>
      <c r="B124" s="3"/>
      <c r="C124" s="3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37"/>
      <c r="U124" s="57"/>
      <c r="V124" s="57"/>
      <c r="W124" s="57"/>
      <c r="X124" s="37"/>
      <c r="Y124" s="25"/>
      <c r="Z124" s="25"/>
      <c r="AA124" s="25"/>
      <c r="AB124" s="57"/>
      <c r="AC124" s="57"/>
      <c r="AE124" s="25"/>
      <c r="AF124" s="25"/>
      <c r="AG124" s="25"/>
      <c r="AH124" s="25"/>
      <c r="AI124" s="25"/>
      <c r="AJ124" s="25"/>
    </row>
    <row r="125" spans="1:36" s="19" customFormat="1" ht="15">
      <c r="A125" s="112" t="s">
        <v>198</v>
      </c>
      <c r="B125" s="254"/>
      <c r="C125" s="254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44"/>
      <c r="O125" s="25"/>
      <c r="P125" s="25"/>
      <c r="Q125" s="25"/>
      <c r="R125" s="244"/>
      <c r="S125" s="25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E125" s="25"/>
      <c r="AF125" s="25"/>
      <c r="AG125" s="25"/>
      <c r="AH125" s="25"/>
      <c r="AI125" s="25"/>
      <c r="AJ125" s="25"/>
    </row>
    <row r="126" spans="1:36" s="19" customFormat="1" ht="15">
      <c r="A126" s="112" t="s">
        <v>199</v>
      </c>
      <c r="B126" s="254"/>
      <c r="C126" s="254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44"/>
      <c r="O126" s="25"/>
      <c r="P126" s="25"/>
      <c r="Q126" s="25"/>
      <c r="R126" s="244"/>
      <c r="S126" s="25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E126" s="25"/>
      <c r="AF126" s="25"/>
      <c r="AG126" s="25"/>
      <c r="AH126" s="25"/>
      <c r="AI126" s="25"/>
      <c r="AJ126" s="25"/>
    </row>
    <row r="127" spans="1:36" ht="15.75" customHeight="1">
      <c r="A127" s="3" t="s">
        <v>200</v>
      </c>
      <c r="B127" s="254"/>
      <c r="C127" s="254"/>
      <c r="X127" s="79"/>
    </row>
    <row r="128" spans="1:36" ht="9" customHeight="1">
      <c r="A128" s="5"/>
      <c r="B128" s="5"/>
      <c r="C128" s="5"/>
      <c r="D128" s="6"/>
      <c r="E128" s="5"/>
      <c r="F128" s="5"/>
      <c r="G128" s="5"/>
      <c r="H128" s="6"/>
      <c r="I128" s="5"/>
      <c r="J128" s="5"/>
      <c r="K128" s="7"/>
      <c r="L128" s="6"/>
      <c r="M128" s="5"/>
      <c r="N128" s="5"/>
      <c r="O128" s="7"/>
      <c r="P128" s="6"/>
      <c r="Q128" s="5"/>
      <c r="R128" s="5"/>
      <c r="S128" s="7"/>
      <c r="T128" s="6"/>
      <c r="U128" s="5"/>
      <c r="V128" s="5"/>
      <c r="W128" s="7"/>
      <c r="X128" s="6"/>
      <c r="Y128" s="5"/>
      <c r="Z128" s="5"/>
      <c r="AA128" s="5"/>
      <c r="AB128" s="325"/>
      <c r="AC128" s="334"/>
      <c r="AD128" s="204"/>
      <c r="AE128" s="6"/>
      <c r="AF128" s="5"/>
      <c r="AG128" s="5"/>
      <c r="AH128" s="5"/>
      <c r="AI128" s="5"/>
      <c r="AJ128" s="7"/>
    </row>
    <row r="129" spans="1:36" ht="15">
      <c r="D129" s="8" t="str">
        <f>D4</f>
        <v>FY2019</v>
      </c>
      <c r="E129" s="79"/>
      <c r="F129" s="79"/>
      <c r="G129" s="79"/>
      <c r="H129" s="8" t="str">
        <f>H4</f>
        <v>FY2020</v>
      </c>
      <c r="I129" s="79"/>
      <c r="J129" s="79"/>
      <c r="K129" s="80"/>
      <c r="L129" s="8" t="str">
        <f>L4</f>
        <v>FY2021</v>
      </c>
      <c r="M129" s="79"/>
      <c r="N129" s="79"/>
      <c r="O129" s="80"/>
      <c r="P129" s="8" t="str">
        <f>P4</f>
        <v>FY2022</v>
      </c>
      <c r="Q129" s="79"/>
      <c r="R129" s="79"/>
      <c r="S129" s="80"/>
      <c r="T129" s="8" t="str">
        <f>T4</f>
        <v>FY2023</v>
      </c>
      <c r="U129" s="9"/>
      <c r="V129" s="9"/>
      <c r="W129" s="10"/>
      <c r="X129" s="8" t="str">
        <f>X4</f>
        <v>FY2024</v>
      </c>
      <c r="Y129" s="9"/>
      <c r="Z129" s="9"/>
      <c r="AA129" s="9"/>
      <c r="AB129" s="298" t="s">
        <v>207</v>
      </c>
      <c r="AC129" s="304" t="s">
        <v>208</v>
      </c>
      <c r="AD129" s="204"/>
      <c r="AE129" s="207" t="str">
        <f t="shared" ref="AE129:AJ129" si="61">AE4</f>
        <v>FY2019</v>
      </c>
      <c r="AF129" s="11" t="str">
        <f t="shared" si="61"/>
        <v>FY2020</v>
      </c>
      <c r="AG129" s="11" t="str">
        <f t="shared" si="61"/>
        <v>FY2021</v>
      </c>
      <c r="AH129" s="11" t="str">
        <f t="shared" si="61"/>
        <v>FY2022</v>
      </c>
      <c r="AI129" s="11" t="str">
        <f t="shared" si="61"/>
        <v>FY2023</v>
      </c>
      <c r="AJ129" s="208" t="str">
        <f t="shared" si="61"/>
        <v>FY2024</v>
      </c>
    </row>
    <row r="130" spans="1:36" ht="19.649999999999999" customHeight="1">
      <c r="A130" s="79"/>
      <c r="B130" s="79"/>
      <c r="C130" s="79"/>
      <c r="D130" s="12" t="s">
        <v>9</v>
      </c>
      <c r="E130" s="13" t="s">
        <v>10</v>
      </c>
      <c r="F130" s="13" t="s">
        <v>11</v>
      </c>
      <c r="G130" s="13" t="s">
        <v>12</v>
      </c>
      <c r="H130" s="12" t="s">
        <v>9</v>
      </c>
      <c r="I130" s="13" t="s">
        <v>10</v>
      </c>
      <c r="J130" s="13" t="s">
        <v>11</v>
      </c>
      <c r="K130" s="14" t="s">
        <v>12</v>
      </c>
      <c r="L130" s="12" t="s">
        <v>9</v>
      </c>
      <c r="M130" s="13" t="s">
        <v>10</v>
      </c>
      <c r="N130" s="13" t="s">
        <v>11</v>
      </c>
      <c r="O130" s="14" t="s">
        <v>12</v>
      </c>
      <c r="P130" s="12" t="s">
        <v>9</v>
      </c>
      <c r="Q130" s="13" t="s">
        <v>10</v>
      </c>
      <c r="R130" s="13" t="s">
        <v>11</v>
      </c>
      <c r="S130" s="14" t="s">
        <v>12</v>
      </c>
      <c r="T130" s="12" t="s">
        <v>9</v>
      </c>
      <c r="U130" s="13" t="s">
        <v>10</v>
      </c>
      <c r="V130" s="13" t="s">
        <v>202</v>
      </c>
      <c r="W130" s="14" t="s">
        <v>204</v>
      </c>
      <c r="X130" s="12" t="s">
        <v>9</v>
      </c>
      <c r="Y130" s="13" t="s">
        <v>10</v>
      </c>
      <c r="Z130" s="13" t="s">
        <v>11</v>
      </c>
      <c r="AA130" s="13" t="s">
        <v>12</v>
      </c>
      <c r="AB130" s="12" t="s">
        <v>9</v>
      </c>
      <c r="AC130" s="13" t="s">
        <v>10</v>
      </c>
      <c r="AD130" s="204"/>
      <c r="AE130" s="209"/>
      <c r="AF130" s="15"/>
      <c r="AG130" s="15"/>
      <c r="AH130" s="15"/>
      <c r="AI130" s="15"/>
      <c r="AJ130" s="210"/>
    </row>
    <row r="131" spans="1:36" s="19" customFormat="1" ht="21.9" customHeight="1">
      <c r="A131" s="63" t="s">
        <v>97</v>
      </c>
      <c r="B131" s="63"/>
      <c r="C131" s="63"/>
      <c r="D131" s="107"/>
      <c r="E131" s="108"/>
      <c r="F131" s="108"/>
      <c r="G131" s="108"/>
      <c r="H131" s="107"/>
      <c r="I131" s="108"/>
      <c r="J131" s="108"/>
      <c r="K131" s="109"/>
      <c r="L131" s="223"/>
      <c r="M131" s="224"/>
      <c r="N131" s="224"/>
      <c r="O131" s="225"/>
      <c r="P131" s="223"/>
      <c r="Q131" s="224"/>
      <c r="R131" s="224"/>
      <c r="S131" s="225"/>
      <c r="T131" s="223"/>
      <c r="U131" s="224"/>
      <c r="V131" s="224"/>
      <c r="W131" s="225"/>
      <c r="X131" s="223"/>
      <c r="Y131" s="224"/>
      <c r="Z131" s="224"/>
      <c r="AA131" s="224"/>
      <c r="AB131" s="327"/>
      <c r="AC131" s="224"/>
      <c r="AD131" s="18"/>
      <c r="AE131" s="107"/>
      <c r="AF131" s="108"/>
      <c r="AG131" s="250"/>
      <c r="AH131" s="250"/>
      <c r="AI131" s="250"/>
      <c r="AJ131" s="246"/>
    </row>
    <row r="132" spans="1:36" s="19" customFormat="1" ht="16.5" customHeight="1">
      <c r="A132" s="5" t="s">
        <v>98</v>
      </c>
      <c r="B132" s="5"/>
      <c r="C132" s="5"/>
      <c r="D132" s="36">
        <v>256229</v>
      </c>
      <c r="E132" s="37">
        <v>253244</v>
      </c>
      <c r="F132" s="37">
        <v>251493</v>
      </c>
      <c r="G132" s="37">
        <v>245308</v>
      </c>
      <c r="H132" s="36">
        <v>174786</v>
      </c>
      <c r="I132" s="37">
        <v>207499</v>
      </c>
      <c r="J132" s="37">
        <v>211310</v>
      </c>
      <c r="K132" s="38">
        <v>222300</v>
      </c>
      <c r="L132" s="226"/>
      <c r="M132" s="227"/>
      <c r="N132" s="227"/>
      <c r="O132" s="228"/>
      <c r="P132" s="226"/>
      <c r="Q132" s="227"/>
      <c r="R132" s="227"/>
      <c r="S132" s="228"/>
      <c r="T132" s="226"/>
      <c r="U132" s="227"/>
      <c r="V132" s="227"/>
      <c r="W132" s="228"/>
      <c r="X132" s="226"/>
      <c r="Y132" s="227"/>
      <c r="Z132" s="227"/>
      <c r="AA132" s="227"/>
      <c r="AB132" s="328"/>
      <c r="AC132" s="227"/>
      <c r="AD132" s="206"/>
      <c r="AE132" s="36">
        <f t="shared" ref="AE132:AE137" si="62">SUM(D132:G132)</f>
        <v>1006274</v>
      </c>
      <c r="AF132" s="37">
        <f t="shared" ref="AF132:AF137" si="63">SUM(H132:K132)</f>
        <v>815895</v>
      </c>
      <c r="AG132" s="251"/>
      <c r="AH132" s="251"/>
      <c r="AI132" s="251"/>
      <c r="AJ132" s="247"/>
    </row>
    <row r="133" spans="1:36" s="57" customFormat="1" ht="16.5" customHeight="1">
      <c r="A133" s="110" t="s">
        <v>99</v>
      </c>
      <c r="B133" s="110"/>
      <c r="C133" s="111"/>
      <c r="D133" s="24">
        <v>115783</v>
      </c>
      <c r="E133" s="25">
        <v>154742</v>
      </c>
      <c r="F133" s="25">
        <v>138128</v>
      </c>
      <c r="G133" s="25">
        <v>160302</v>
      </c>
      <c r="H133" s="24">
        <v>103382</v>
      </c>
      <c r="I133" s="25">
        <v>121299</v>
      </c>
      <c r="J133" s="25">
        <v>133550</v>
      </c>
      <c r="K133" s="26">
        <v>174076</v>
      </c>
      <c r="L133" s="229"/>
      <c r="M133" s="230"/>
      <c r="N133" s="230"/>
      <c r="O133" s="231"/>
      <c r="P133" s="229"/>
      <c r="Q133" s="230"/>
      <c r="R133" s="230"/>
      <c r="S133" s="231"/>
      <c r="T133" s="229"/>
      <c r="U133" s="230"/>
      <c r="V133" s="230"/>
      <c r="W133" s="231"/>
      <c r="X133" s="229"/>
      <c r="Y133" s="230"/>
      <c r="Z133" s="230"/>
      <c r="AA133" s="230"/>
      <c r="AB133" s="329"/>
      <c r="AC133" s="230"/>
      <c r="AD133" s="24"/>
      <c r="AE133" s="24">
        <f t="shared" si="62"/>
        <v>568955</v>
      </c>
      <c r="AF133" s="25">
        <f t="shared" si="63"/>
        <v>532307</v>
      </c>
      <c r="AG133" s="252"/>
      <c r="AH133" s="252"/>
      <c r="AI133" s="252"/>
      <c r="AJ133" s="248"/>
    </row>
    <row r="134" spans="1:36" s="57" customFormat="1" ht="16.5" customHeight="1">
      <c r="A134" s="110" t="s">
        <v>100</v>
      </c>
      <c r="B134" s="110"/>
      <c r="C134" s="111"/>
      <c r="D134" s="24">
        <v>43056</v>
      </c>
      <c r="E134" s="25">
        <v>44481</v>
      </c>
      <c r="F134" s="25">
        <v>45838</v>
      </c>
      <c r="G134" s="25">
        <v>45021</v>
      </c>
      <c r="H134" s="24">
        <v>27794</v>
      </c>
      <c r="I134" s="25">
        <v>34885</v>
      </c>
      <c r="J134" s="25">
        <v>35498</v>
      </c>
      <c r="K134" s="26">
        <v>36484</v>
      </c>
      <c r="L134" s="229"/>
      <c r="M134" s="230"/>
      <c r="N134" s="230"/>
      <c r="O134" s="231"/>
      <c r="P134" s="229"/>
      <c r="Q134" s="230"/>
      <c r="R134" s="230"/>
      <c r="S134" s="231"/>
      <c r="T134" s="229"/>
      <c r="U134" s="230"/>
      <c r="V134" s="230"/>
      <c r="W134" s="231"/>
      <c r="X134" s="229"/>
      <c r="Y134" s="230"/>
      <c r="Z134" s="230"/>
      <c r="AA134" s="230"/>
      <c r="AB134" s="329"/>
      <c r="AC134" s="230"/>
      <c r="AD134" s="24"/>
      <c r="AE134" s="24">
        <f t="shared" si="62"/>
        <v>178396</v>
      </c>
      <c r="AF134" s="25">
        <f t="shared" si="63"/>
        <v>134661</v>
      </c>
      <c r="AG134" s="252"/>
      <c r="AH134" s="252"/>
      <c r="AI134" s="252"/>
      <c r="AJ134" s="248"/>
    </row>
    <row r="135" spans="1:36" s="57" customFormat="1" ht="16.5" customHeight="1">
      <c r="A135" s="110" t="s">
        <v>101</v>
      </c>
      <c r="B135" s="110"/>
      <c r="C135" s="111"/>
      <c r="D135" s="24">
        <v>5969</v>
      </c>
      <c r="E135" s="25">
        <v>5757</v>
      </c>
      <c r="F135" s="25">
        <v>6068</v>
      </c>
      <c r="G135" s="25">
        <v>5212</v>
      </c>
      <c r="H135" s="24">
        <v>4295</v>
      </c>
      <c r="I135" s="25">
        <v>6010</v>
      </c>
      <c r="J135" s="25">
        <v>6313</v>
      </c>
      <c r="K135" s="26">
        <v>8071</v>
      </c>
      <c r="L135" s="229"/>
      <c r="M135" s="230"/>
      <c r="N135" s="230"/>
      <c r="O135" s="231"/>
      <c r="P135" s="229"/>
      <c r="Q135" s="230"/>
      <c r="R135" s="230"/>
      <c r="S135" s="231"/>
      <c r="T135" s="229"/>
      <c r="U135" s="230"/>
      <c r="V135" s="230"/>
      <c r="W135" s="231"/>
      <c r="X135" s="229"/>
      <c r="Y135" s="230"/>
      <c r="Z135" s="230"/>
      <c r="AA135" s="230"/>
      <c r="AB135" s="329"/>
      <c r="AC135" s="230"/>
      <c r="AD135" s="24"/>
      <c r="AE135" s="24">
        <f t="shared" si="62"/>
        <v>23006</v>
      </c>
      <c r="AF135" s="25">
        <f t="shared" si="63"/>
        <v>24689</v>
      </c>
      <c r="AG135" s="252"/>
      <c r="AH135" s="252"/>
      <c r="AI135" s="252"/>
      <c r="AJ135" s="248"/>
    </row>
    <row r="136" spans="1:36" s="57" customFormat="1" ht="16.5" customHeight="1">
      <c r="A136" s="110" t="s">
        <v>102</v>
      </c>
      <c r="C136" s="111"/>
      <c r="D136" s="24">
        <v>16134</v>
      </c>
      <c r="E136" s="25">
        <v>15564</v>
      </c>
      <c r="F136" s="25">
        <v>16198</v>
      </c>
      <c r="G136" s="25">
        <v>14000</v>
      </c>
      <c r="H136" s="24">
        <v>13791</v>
      </c>
      <c r="I136" s="25">
        <v>13376</v>
      </c>
      <c r="J136" s="25">
        <v>15324</v>
      </c>
      <c r="K136" s="26">
        <v>14383</v>
      </c>
      <c r="L136" s="229"/>
      <c r="M136" s="230"/>
      <c r="N136" s="230"/>
      <c r="O136" s="231"/>
      <c r="P136" s="229"/>
      <c r="Q136" s="230"/>
      <c r="R136" s="230"/>
      <c r="S136" s="231"/>
      <c r="T136" s="229"/>
      <c r="U136" s="230"/>
      <c r="V136" s="230"/>
      <c r="W136" s="231"/>
      <c r="X136" s="229"/>
      <c r="Y136" s="230"/>
      <c r="Z136" s="230"/>
      <c r="AA136" s="230"/>
      <c r="AB136" s="329"/>
      <c r="AC136" s="230"/>
      <c r="AD136" s="24"/>
      <c r="AE136" s="24">
        <f t="shared" si="62"/>
        <v>61896</v>
      </c>
      <c r="AF136" s="25">
        <f t="shared" si="63"/>
        <v>56874</v>
      </c>
      <c r="AG136" s="252"/>
      <c r="AH136" s="252"/>
      <c r="AI136" s="252"/>
      <c r="AJ136" s="248"/>
    </row>
    <row r="137" spans="1:36" s="57" customFormat="1" ht="16.5" customHeight="1">
      <c r="A137" s="71" t="s">
        <v>95</v>
      </c>
      <c r="B137" s="71"/>
      <c r="C137" s="71"/>
      <c r="D137" s="98">
        <v>40434</v>
      </c>
      <c r="E137" s="88">
        <v>43386</v>
      </c>
      <c r="F137" s="88">
        <v>41378</v>
      </c>
      <c r="G137" s="99">
        <v>44855</v>
      </c>
      <c r="H137" s="98">
        <v>28277</v>
      </c>
      <c r="I137" s="88">
        <v>26554</v>
      </c>
      <c r="J137" s="88">
        <v>29128</v>
      </c>
      <c r="K137" s="99">
        <v>33684</v>
      </c>
      <c r="L137" s="232"/>
      <c r="M137" s="233"/>
      <c r="N137" s="233"/>
      <c r="O137" s="234"/>
      <c r="P137" s="232"/>
      <c r="Q137" s="233"/>
      <c r="R137" s="233"/>
      <c r="S137" s="234"/>
      <c r="T137" s="232"/>
      <c r="U137" s="233"/>
      <c r="V137" s="233"/>
      <c r="W137" s="234"/>
      <c r="X137" s="232"/>
      <c r="Y137" s="233"/>
      <c r="Z137" s="233"/>
      <c r="AA137" s="233"/>
      <c r="AB137" s="330"/>
      <c r="AC137" s="233"/>
      <c r="AD137" s="24"/>
      <c r="AE137" s="98">
        <f t="shared" si="62"/>
        <v>170053</v>
      </c>
      <c r="AF137" s="88">
        <f t="shared" si="63"/>
        <v>117643</v>
      </c>
      <c r="AG137" s="253"/>
      <c r="AH137" s="253"/>
      <c r="AI137" s="253"/>
      <c r="AJ137" s="249"/>
    </row>
    <row r="138" spans="1:36" ht="15">
      <c r="N138" s="27"/>
      <c r="R138" s="27"/>
      <c r="T138" s="37"/>
      <c r="U138" s="25"/>
      <c r="V138" s="25"/>
      <c r="W138" s="25"/>
      <c r="X138" s="37"/>
      <c r="Y138" s="25"/>
      <c r="Z138" s="25"/>
      <c r="AA138" s="25"/>
      <c r="AB138" s="25"/>
      <c r="AC138" s="25"/>
    </row>
    <row r="140" spans="1:36" ht="9" customHeight="1">
      <c r="A140" s="5"/>
      <c r="B140" s="5"/>
      <c r="C140" s="5"/>
      <c r="D140" s="6"/>
      <c r="E140" s="5"/>
      <c r="F140" s="5"/>
      <c r="G140" s="7"/>
      <c r="H140" s="6"/>
      <c r="I140" s="5"/>
      <c r="J140" s="5"/>
      <c r="K140" s="7"/>
      <c r="L140" s="6"/>
      <c r="M140" s="5"/>
      <c r="N140" s="5"/>
      <c r="O140" s="7"/>
      <c r="P140" s="6"/>
      <c r="Q140" s="5"/>
      <c r="R140" s="5"/>
      <c r="S140" s="7"/>
      <c r="T140" s="6"/>
      <c r="U140" s="5"/>
      <c r="V140" s="5"/>
      <c r="W140" s="5"/>
      <c r="X140" s="6"/>
      <c r="Y140" s="5"/>
      <c r="Z140" s="5"/>
      <c r="AA140" s="5"/>
      <c r="AB140" s="325"/>
      <c r="AC140" s="334"/>
      <c r="AD140" s="204"/>
      <c r="AE140" s="6"/>
      <c r="AF140" s="5"/>
      <c r="AG140" s="5"/>
      <c r="AH140" s="5"/>
      <c r="AI140" s="5"/>
      <c r="AJ140" s="7"/>
    </row>
    <row r="141" spans="1:36" ht="15">
      <c r="D141" s="8" t="str">
        <f>D4</f>
        <v>FY2019</v>
      </c>
      <c r="E141" s="79"/>
      <c r="F141" s="79"/>
      <c r="G141" s="80"/>
      <c r="H141" s="8" t="str">
        <f>H4</f>
        <v>FY2020</v>
      </c>
      <c r="I141" s="79"/>
      <c r="J141" s="79"/>
      <c r="K141" s="80"/>
      <c r="L141" s="8" t="str">
        <f>L4</f>
        <v>FY2021</v>
      </c>
      <c r="M141" s="79"/>
      <c r="N141" s="79"/>
      <c r="O141" s="80"/>
      <c r="P141" s="8" t="str">
        <f>P4</f>
        <v>FY2022</v>
      </c>
      <c r="Q141" s="79"/>
      <c r="R141" s="79"/>
      <c r="S141" s="80"/>
      <c r="T141" s="8" t="str">
        <f>T4</f>
        <v>FY2023</v>
      </c>
      <c r="U141" s="9"/>
      <c r="V141" s="9"/>
      <c r="W141" s="9"/>
      <c r="X141" s="8" t="str">
        <f>X4</f>
        <v>FY2024</v>
      </c>
      <c r="Y141" s="9"/>
      <c r="Z141" s="9"/>
      <c r="AA141" s="9"/>
      <c r="AB141" s="298" t="s">
        <v>207</v>
      </c>
      <c r="AC141" s="304"/>
      <c r="AD141" s="204"/>
      <c r="AE141" s="207" t="str">
        <f t="shared" ref="AE141:AJ141" si="64">AE4</f>
        <v>FY2019</v>
      </c>
      <c r="AF141" s="11" t="str">
        <f t="shared" si="64"/>
        <v>FY2020</v>
      </c>
      <c r="AG141" s="11" t="str">
        <f t="shared" si="64"/>
        <v>FY2021</v>
      </c>
      <c r="AH141" s="11" t="str">
        <f t="shared" si="64"/>
        <v>FY2022</v>
      </c>
      <c r="AI141" s="11" t="str">
        <f t="shared" si="64"/>
        <v>FY2023</v>
      </c>
      <c r="AJ141" s="208" t="str">
        <f t="shared" si="64"/>
        <v>FY2024</v>
      </c>
    </row>
    <row r="142" spans="1:36" ht="19.649999999999999" customHeight="1">
      <c r="D142" s="12" t="s">
        <v>9</v>
      </c>
      <c r="E142" s="13" t="s">
        <v>10</v>
      </c>
      <c r="F142" s="13" t="s">
        <v>11</v>
      </c>
      <c r="G142" s="14" t="str">
        <f>G5</f>
        <v>Q4</v>
      </c>
      <c r="H142" s="12" t="s">
        <v>9</v>
      </c>
      <c r="I142" s="13" t="s">
        <v>10</v>
      </c>
      <c r="J142" s="13" t="str">
        <f>J5</f>
        <v>Q3</v>
      </c>
      <c r="K142" s="14" t="str">
        <f>K5</f>
        <v>Q4</v>
      </c>
      <c r="L142" s="12" t="s">
        <v>9</v>
      </c>
      <c r="M142" s="13" t="s">
        <v>10</v>
      </c>
      <c r="N142" s="13" t="s">
        <v>11</v>
      </c>
      <c r="O142" s="14" t="str">
        <f>O5</f>
        <v>Q4</v>
      </c>
      <c r="P142" s="12" t="s">
        <v>9</v>
      </c>
      <c r="Q142" s="13" t="s">
        <v>10</v>
      </c>
      <c r="R142" s="13" t="s">
        <v>11</v>
      </c>
      <c r="S142" s="14" t="str">
        <f>S5</f>
        <v>Q4</v>
      </c>
      <c r="T142" s="12" t="s">
        <v>9</v>
      </c>
      <c r="U142" s="13" t="s">
        <v>10</v>
      </c>
      <c r="V142" s="13" t="s">
        <v>11</v>
      </c>
      <c r="W142" s="271" t="s">
        <v>12</v>
      </c>
      <c r="X142" s="12" t="s">
        <v>9</v>
      </c>
      <c r="Y142" s="13" t="s">
        <v>10</v>
      </c>
      <c r="Z142" s="13" t="s">
        <v>11</v>
      </c>
      <c r="AA142" s="13" t="s">
        <v>12</v>
      </c>
      <c r="AB142" s="12" t="s">
        <v>9</v>
      </c>
      <c r="AC142" s="14" t="s">
        <v>10</v>
      </c>
      <c r="AD142" s="204"/>
      <c r="AE142" s="209"/>
      <c r="AF142" s="15"/>
      <c r="AG142" s="15"/>
      <c r="AH142" s="15"/>
      <c r="AI142" s="15"/>
      <c r="AJ142" s="210"/>
    </row>
    <row r="143" spans="1:36" s="19" customFormat="1" ht="21.9" customHeight="1">
      <c r="A143" s="113" t="s">
        <v>103</v>
      </c>
      <c r="B143" s="113"/>
      <c r="C143" s="113"/>
      <c r="D143" s="18"/>
      <c r="G143" s="20"/>
      <c r="H143" s="18"/>
      <c r="K143" s="20"/>
      <c r="L143" s="18"/>
      <c r="O143" s="20"/>
      <c r="P143" s="18"/>
      <c r="S143" s="20"/>
      <c r="T143" s="18"/>
      <c r="W143" s="288"/>
      <c r="X143" s="18"/>
      <c r="AB143" s="256"/>
      <c r="AC143" s="255"/>
      <c r="AD143" s="18"/>
      <c r="AE143" s="18"/>
      <c r="AJ143" s="20"/>
    </row>
    <row r="144" spans="1:36" s="57" customFormat="1" ht="16.5" customHeight="1">
      <c r="A144" s="110" t="s">
        <v>104</v>
      </c>
      <c r="B144" s="110"/>
      <c r="D144" s="36">
        <v>193902</v>
      </c>
      <c r="E144" s="37">
        <v>235689</v>
      </c>
      <c r="F144" s="37">
        <v>207522</v>
      </c>
      <c r="G144" s="38">
        <v>235265</v>
      </c>
      <c r="H144" s="36">
        <v>159305</v>
      </c>
      <c r="I144" s="37">
        <v>176112</v>
      </c>
      <c r="J144" s="37">
        <v>181372</v>
      </c>
      <c r="K144" s="38">
        <v>236252</v>
      </c>
      <c r="L144" s="36">
        <v>171317</v>
      </c>
      <c r="M144" s="37">
        <v>164839</v>
      </c>
      <c r="N144" s="37">
        <v>165954</v>
      </c>
      <c r="O144" s="38">
        <v>203132</v>
      </c>
      <c r="P144" s="36">
        <v>163764</v>
      </c>
      <c r="Q144" s="37">
        <v>187822</v>
      </c>
      <c r="R144" s="37">
        <v>199646</v>
      </c>
      <c r="S144" s="38">
        <v>252723</v>
      </c>
      <c r="T144" s="36">
        <v>191909</v>
      </c>
      <c r="U144" s="37">
        <v>212218</v>
      </c>
      <c r="V144" s="37">
        <v>203287</v>
      </c>
      <c r="W144" s="276">
        <v>258243</v>
      </c>
      <c r="X144" s="36">
        <v>196888</v>
      </c>
      <c r="Y144" s="37">
        <v>243042</v>
      </c>
      <c r="Z144" s="37">
        <v>235519</v>
      </c>
      <c r="AA144" s="37">
        <v>287827</v>
      </c>
      <c r="AB144" s="36">
        <v>224655</v>
      </c>
      <c r="AC144" s="37">
        <v>270226</v>
      </c>
      <c r="AD144" s="24"/>
      <c r="AE144" s="36">
        <v>872378</v>
      </c>
      <c r="AF144" s="37">
        <v>753041</v>
      </c>
      <c r="AG144" s="37">
        <v>705242</v>
      </c>
      <c r="AH144" s="37">
        <v>803955</v>
      </c>
      <c r="AI144" s="37">
        <v>865657</v>
      </c>
      <c r="AJ144" s="38">
        <v>963276</v>
      </c>
    </row>
    <row r="145" spans="1:36" s="57" customFormat="1" ht="16.5" customHeight="1">
      <c r="A145" s="110" t="s">
        <v>105</v>
      </c>
      <c r="B145" s="110"/>
      <c r="D145" s="25">
        <f t="shared" ref="D145" si="65">SUM(D146:D148)</f>
        <v>283703</v>
      </c>
      <c r="E145" s="25">
        <v>281485</v>
      </c>
      <c r="F145" s="25">
        <v>291581</v>
      </c>
      <c r="G145" s="26">
        <v>279433</v>
      </c>
      <c r="H145" s="25">
        <v>193020</v>
      </c>
      <c r="I145" s="25">
        <v>233511</v>
      </c>
      <c r="J145" s="25">
        <v>249751</v>
      </c>
      <c r="K145" s="26">
        <v>252746</v>
      </c>
      <c r="L145" s="25">
        <v>253487</v>
      </c>
      <c r="M145" s="25">
        <v>253820</v>
      </c>
      <c r="N145" s="25">
        <v>266778</v>
      </c>
      <c r="O145" s="26">
        <v>279260</v>
      </c>
      <c r="P145" s="25">
        <v>295577</v>
      </c>
      <c r="Q145" s="25">
        <v>326373</v>
      </c>
      <c r="R145" s="25">
        <v>355426</v>
      </c>
      <c r="S145" s="26">
        <v>352849</v>
      </c>
      <c r="T145" s="25">
        <v>342692</v>
      </c>
      <c r="U145" s="25">
        <v>365771</v>
      </c>
      <c r="V145" s="25">
        <v>381811</v>
      </c>
      <c r="W145" s="280">
        <v>393056</v>
      </c>
      <c r="X145" s="24">
        <v>377491</v>
      </c>
      <c r="Y145" s="25">
        <v>385167</v>
      </c>
      <c r="Z145" s="25">
        <v>397297</v>
      </c>
      <c r="AA145" s="25">
        <v>404645</v>
      </c>
      <c r="AB145" s="24">
        <v>356143</v>
      </c>
      <c r="AC145" s="25">
        <v>371427</v>
      </c>
      <c r="AD145" s="24"/>
      <c r="AE145" s="24">
        <v>1136202</v>
      </c>
      <c r="AF145" s="25">
        <v>929028</v>
      </c>
      <c r="AG145" s="25">
        <v>1053345</v>
      </c>
      <c r="AH145" s="25">
        <v>1330225</v>
      </c>
      <c r="AI145" s="25">
        <v>1483330</v>
      </c>
      <c r="AJ145" s="26">
        <v>1564600</v>
      </c>
    </row>
    <row r="146" spans="1:36" s="57" customFormat="1" ht="16.5" customHeight="1">
      <c r="B146" s="110" t="s">
        <v>106</v>
      </c>
      <c r="C146" s="257"/>
      <c r="D146" s="25">
        <v>133048</v>
      </c>
      <c r="E146" s="25">
        <v>136000</v>
      </c>
      <c r="F146" s="25">
        <v>133762</v>
      </c>
      <c r="G146" s="26">
        <v>131371</v>
      </c>
      <c r="H146" s="24">
        <v>85750</v>
      </c>
      <c r="I146" s="25">
        <v>100947</v>
      </c>
      <c r="J146" s="25">
        <v>97978</v>
      </c>
      <c r="K146" s="26">
        <v>101934</v>
      </c>
      <c r="L146" s="24">
        <v>106416</v>
      </c>
      <c r="M146" s="25">
        <v>108256</v>
      </c>
      <c r="N146" s="25">
        <v>108559</v>
      </c>
      <c r="O146" s="26">
        <v>120416</v>
      </c>
      <c r="P146" s="24">
        <v>132591</v>
      </c>
      <c r="Q146" s="25">
        <v>151083</v>
      </c>
      <c r="R146" s="25">
        <v>158260</v>
      </c>
      <c r="S146" s="26">
        <v>158902</v>
      </c>
      <c r="T146" s="24">
        <v>152562</v>
      </c>
      <c r="U146" s="25">
        <v>167719</v>
      </c>
      <c r="V146" s="25">
        <v>168282</v>
      </c>
      <c r="W146" s="280">
        <v>171220</v>
      </c>
      <c r="X146" s="24">
        <v>163240</v>
      </c>
      <c r="Y146" s="25">
        <v>174110</v>
      </c>
      <c r="Z146" s="25">
        <v>171852</v>
      </c>
      <c r="AA146" s="25">
        <v>177864</v>
      </c>
      <c r="AB146" s="24">
        <v>153480</v>
      </c>
      <c r="AC146" s="25">
        <v>159714</v>
      </c>
      <c r="AD146" s="24"/>
      <c r="AE146" s="24">
        <v>534181</v>
      </c>
      <c r="AF146" s="25">
        <v>386609</v>
      </c>
      <c r="AG146" s="25">
        <v>443647</v>
      </c>
      <c r="AH146" s="25">
        <v>600836</v>
      </c>
      <c r="AI146" s="25">
        <v>659783</v>
      </c>
      <c r="AJ146" s="26">
        <v>687066</v>
      </c>
    </row>
    <row r="147" spans="1:36" s="57" customFormat="1" ht="16.5" customHeight="1">
      <c r="B147" s="110" t="s">
        <v>107</v>
      </c>
      <c r="D147" s="24">
        <v>106047</v>
      </c>
      <c r="E147" s="25">
        <v>102453</v>
      </c>
      <c r="F147" s="25">
        <v>113335</v>
      </c>
      <c r="G147" s="26">
        <v>114623</v>
      </c>
      <c r="H147" s="24">
        <v>74232</v>
      </c>
      <c r="I147" s="25">
        <v>95249</v>
      </c>
      <c r="J147" s="25">
        <v>112311</v>
      </c>
      <c r="K147" s="26">
        <v>111617</v>
      </c>
      <c r="L147" s="24">
        <v>106310</v>
      </c>
      <c r="M147" s="25">
        <v>106012</v>
      </c>
      <c r="N147" s="25">
        <v>116655</v>
      </c>
      <c r="O147" s="26">
        <v>121201</v>
      </c>
      <c r="P147" s="24">
        <v>121064</v>
      </c>
      <c r="Q147" s="25">
        <v>127280</v>
      </c>
      <c r="R147" s="25">
        <v>146548</v>
      </c>
      <c r="S147" s="26">
        <v>151570</v>
      </c>
      <c r="T147" s="24">
        <v>144604</v>
      </c>
      <c r="U147" s="25">
        <v>147466</v>
      </c>
      <c r="V147" s="25">
        <v>160728</v>
      </c>
      <c r="W147" s="280">
        <v>170920</v>
      </c>
      <c r="X147" s="24">
        <v>160958</v>
      </c>
      <c r="Y147" s="25">
        <v>152029</v>
      </c>
      <c r="Z147" s="25">
        <v>165861</v>
      </c>
      <c r="AA147" s="25">
        <v>169223</v>
      </c>
      <c r="AB147" s="24">
        <v>150687</v>
      </c>
      <c r="AC147" s="25">
        <v>155045</v>
      </c>
      <c r="AD147" s="24"/>
      <c r="AE147" s="24">
        <v>436458</v>
      </c>
      <c r="AF147" s="25">
        <v>393409</v>
      </c>
      <c r="AG147" s="25">
        <v>450178</v>
      </c>
      <c r="AH147" s="25">
        <v>546462</v>
      </c>
      <c r="AI147" s="25">
        <v>623718</v>
      </c>
      <c r="AJ147" s="26">
        <v>648071</v>
      </c>
    </row>
    <row r="148" spans="1:36" s="57" customFormat="1" ht="16.5" customHeight="1">
      <c r="A148" s="71"/>
      <c r="B148" s="71" t="s">
        <v>95</v>
      </c>
      <c r="C148" s="71"/>
      <c r="D148" s="98">
        <v>44608</v>
      </c>
      <c r="E148" s="88">
        <v>43032</v>
      </c>
      <c r="F148" s="88">
        <v>44484</v>
      </c>
      <c r="G148" s="99">
        <v>33439</v>
      </c>
      <c r="H148" s="98">
        <v>33038</v>
      </c>
      <c r="I148" s="88">
        <v>37315</v>
      </c>
      <c r="J148" s="88">
        <v>39462</v>
      </c>
      <c r="K148" s="99">
        <v>39195</v>
      </c>
      <c r="L148" s="98">
        <v>40761</v>
      </c>
      <c r="M148" s="88">
        <v>39552</v>
      </c>
      <c r="N148" s="88">
        <v>41564</v>
      </c>
      <c r="O148" s="99">
        <v>37643</v>
      </c>
      <c r="P148" s="98">
        <v>41922</v>
      </c>
      <c r="Q148" s="88">
        <v>48010</v>
      </c>
      <c r="R148" s="88">
        <v>50618</v>
      </c>
      <c r="S148" s="99">
        <v>42377</v>
      </c>
      <c r="T148" s="98">
        <v>45526</v>
      </c>
      <c r="U148" s="88">
        <v>50586</v>
      </c>
      <c r="V148" s="88">
        <v>52801</v>
      </c>
      <c r="W148" s="273">
        <v>50916</v>
      </c>
      <c r="X148" s="98">
        <v>53293</v>
      </c>
      <c r="Y148" s="88">
        <v>59028</v>
      </c>
      <c r="Z148" s="88">
        <v>59584</v>
      </c>
      <c r="AA148" s="88">
        <v>57558</v>
      </c>
      <c r="AB148" s="98">
        <v>51976</v>
      </c>
      <c r="AC148" s="88">
        <v>56668</v>
      </c>
      <c r="AD148" s="24"/>
      <c r="AE148" s="98">
        <v>165563</v>
      </c>
      <c r="AF148" s="88">
        <v>149010</v>
      </c>
      <c r="AG148" s="88">
        <v>159520</v>
      </c>
      <c r="AH148" s="88">
        <v>182927</v>
      </c>
      <c r="AI148" s="88">
        <v>199829</v>
      </c>
      <c r="AJ148" s="99">
        <v>229463</v>
      </c>
    </row>
    <row r="149" spans="1:36" ht="15">
      <c r="E149" s="25"/>
      <c r="I149" s="25"/>
      <c r="M149" s="25"/>
      <c r="Q149" s="25"/>
      <c r="AB149" s="27"/>
      <c r="AC149" s="27"/>
    </row>
    <row r="150" spans="1:36" ht="15.75" customHeight="1">
      <c r="AB150" s="27"/>
      <c r="AC150" s="27"/>
    </row>
    <row r="151" spans="1:36" ht="15.75" customHeight="1">
      <c r="AB151" s="27"/>
      <c r="AC151" s="27"/>
    </row>
    <row r="152" spans="1:36" ht="15.75" customHeight="1">
      <c r="AB152" s="27"/>
      <c r="AC152" s="27"/>
    </row>
    <row r="153" spans="1:36" ht="15.75" customHeight="1">
      <c r="AB153" s="27"/>
      <c r="AC153" s="27"/>
    </row>
  </sheetData>
  <sheetProtection algorithmName="SHA-512" hashValue="hU3jwgDVELFxn8GJpxxYsAk2QReFw2MfpZuFzmgIntfROaMCQenTYFbMrFyQIBI5JlPJdf5DkJ0MpYKEDit1uw==" saltValue="BGy7QRt4M8kF/Pvb95OsXA==" spinCount="100000" sheet="1" formatCells="0" formatColumns="0" formatRows="0" insertColumns="0" insertRows="0" insertHyperlinks="0" deleteColumns="0" deleteRows="0" sort="0" autoFilter="0" pivotTables="0"/>
  <dataConsolidate/>
  <mergeCells count="1">
    <mergeCell ref="A53:C53"/>
  </mergeCells>
  <phoneticPr fontId="2"/>
  <pageMargins left="0.25" right="0.25" top="0.75" bottom="0.75" header="0.3" footer="0.3"/>
  <pageSetup paperSize="9" scale="18" orientation="portrait" r:id="rId1"/>
  <headerFooter alignWithMargins="0"/>
  <rowBreaks count="2" manualBreakCount="2">
    <brk id="58" max="31" man="1"/>
    <brk id="101" max="31" man="1"/>
  </rowBreaks>
  <colBreaks count="1" manualBreakCount="1">
    <brk id="29" max="1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45"/>
  <sheetViews>
    <sheetView showGridLines="0" view="pageBreakPreview" zoomScale="85" zoomScaleNormal="90" zoomScaleSheetLayoutView="85" workbookViewId="0">
      <pane xSplit="3" ySplit="6" topLeftCell="E9" activePane="bottomRight" state="frozen"/>
      <selection pane="topRight" activeCell="D1" sqref="D1"/>
      <selection pane="bottomLeft" activeCell="A7" sqref="A7"/>
      <selection pane="bottomRight" activeCell="Z1" sqref="Z1"/>
    </sheetView>
  </sheetViews>
  <sheetFormatPr defaultColWidth="8.88671875" defaultRowHeight="15"/>
  <cols>
    <col min="1" max="2" width="3.6640625" style="3" customWidth="1"/>
    <col min="3" max="3" width="60.44140625" style="3" customWidth="1"/>
    <col min="4" max="15" width="12.109375" style="3" customWidth="1"/>
    <col min="16" max="16" width="13.6640625" style="3" bestFit="1" customWidth="1"/>
    <col min="17" max="18" width="12.21875" style="3" customWidth="1"/>
    <col min="19" max="19" width="11.88671875" style="3" customWidth="1"/>
    <col min="20" max="20" width="6" style="3" customWidth="1"/>
    <col min="21" max="22" width="12.6640625" style="3" customWidth="1"/>
    <col min="23" max="24" width="11.88671875" style="3" customWidth="1"/>
    <col min="25" max="16384" width="8.88671875" style="3"/>
  </cols>
  <sheetData>
    <row r="1" spans="1:24">
      <c r="A1" s="1" t="s">
        <v>0</v>
      </c>
      <c r="B1" s="2"/>
      <c r="C1" s="2"/>
    </row>
    <row r="2" spans="1:24">
      <c r="A2" s="4"/>
    </row>
    <row r="3" spans="1:24">
      <c r="A3" s="5"/>
      <c r="B3" s="5"/>
      <c r="C3" s="5"/>
      <c r="D3" s="6"/>
      <c r="E3" s="5"/>
      <c r="F3" s="5"/>
      <c r="G3" s="7"/>
      <c r="H3" s="6"/>
      <c r="I3" s="5"/>
      <c r="J3" s="5"/>
      <c r="K3" s="7"/>
      <c r="L3" s="6"/>
      <c r="M3" s="5"/>
      <c r="N3" s="5"/>
      <c r="O3" s="5"/>
      <c r="P3" s="6"/>
      <c r="Q3" s="5"/>
      <c r="R3" s="5"/>
      <c r="S3" s="5"/>
      <c r="T3" s="204"/>
      <c r="U3" s="6"/>
      <c r="V3" s="5"/>
      <c r="W3" s="5"/>
      <c r="X3" s="7"/>
    </row>
    <row r="4" spans="1:24">
      <c r="D4" s="8" t="s">
        <v>108</v>
      </c>
      <c r="E4" s="9" t="s">
        <v>2</v>
      </c>
      <c r="F4" s="9" t="s">
        <v>2</v>
      </c>
      <c r="G4" s="10" t="s">
        <v>2</v>
      </c>
      <c r="H4" s="8" t="s">
        <v>109</v>
      </c>
      <c r="I4" s="9" t="s">
        <v>2</v>
      </c>
      <c r="J4" s="9" t="s">
        <v>2</v>
      </c>
      <c r="K4" s="10" t="s">
        <v>2</v>
      </c>
      <c r="L4" s="8" t="s">
        <v>1</v>
      </c>
      <c r="M4" s="9" t="s">
        <v>2</v>
      </c>
      <c r="N4" s="9" t="s">
        <v>2</v>
      </c>
      <c r="O4" s="9" t="s">
        <v>2</v>
      </c>
      <c r="P4" s="8" t="s">
        <v>3</v>
      </c>
      <c r="Q4" s="9" t="s">
        <v>2</v>
      </c>
      <c r="R4" s="9" t="s">
        <v>2</v>
      </c>
      <c r="S4" s="9" t="s">
        <v>2</v>
      </c>
      <c r="T4" s="204"/>
      <c r="U4" s="207" t="s">
        <v>108</v>
      </c>
      <c r="V4" s="11" t="s">
        <v>109</v>
      </c>
      <c r="W4" s="11" t="s">
        <v>1</v>
      </c>
      <c r="X4" s="208" t="s">
        <v>6</v>
      </c>
    </row>
    <row r="5" spans="1:24" ht="19.649999999999999" customHeight="1">
      <c r="D5" s="12" t="s">
        <v>9</v>
      </c>
      <c r="E5" s="13" t="s">
        <v>10</v>
      </c>
      <c r="F5" s="13" t="s">
        <v>11</v>
      </c>
      <c r="G5" s="14" t="s">
        <v>12</v>
      </c>
      <c r="H5" s="12" t="s">
        <v>9</v>
      </c>
      <c r="I5" s="13" t="s">
        <v>10</v>
      </c>
      <c r="J5" s="13" t="s">
        <v>11</v>
      </c>
      <c r="K5" s="14" t="s">
        <v>12</v>
      </c>
      <c r="L5" s="12" t="s">
        <v>9</v>
      </c>
      <c r="M5" s="13" t="s">
        <v>10</v>
      </c>
      <c r="N5" s="13" t="s">
        <v>11</v>
      </c>
      <c r="O5" s="13" t="s">
        <v>12</v>
      </c>
      <c r="P5" s="12" t="s">
        <v>9</v>
      </c>
      <c r="Q5" s="13" t="s">
        <v>10</v>
      </c>
      <c r="R5" s="13" t="s">
        <v>11</v>
      </c>
      <c r="S5" s="13" t="s">
        <v>12</v>
      </c>
      <c r="T5" s="204"/>
      <c r="U5" s="209"/>
      <c r="V5" s="15"/>
      <c r="W5" s="15"/>
      <c r="X5" s="210"/>
    </row>
    <row r="6" spans="1:24" s="19" customFormat="1" collapsed="1">
      <c r="A6" s="16" t="s">
        <v>13</v>
      </c>
      <c r="B6" s="17"/>
      <c r="C6" s="17"/>
      <c r="D6" s="18"/>
      <c r="G6" s="20"/>
      <c r="H6" s="18"/>
      <c r="K6" s="20"/>
      <c r="L6" s="18"/>
      <c r="P6" s="18"/>
      <c r="T6" s="18"/>
      <c r="U6" s="18"/>
      <c r="X6" s="20"/>
    </row>
    <row r="7" spans="1:24" s="19" customFormat="1">
      <c r="D7" s="21"/>
      <c r="E7" s="22"/>
      <c r="F7" s="22"/>
      <c r="G7" s="23"/>
      <c r="H7" s="21"/>
      <c r="I7" s="22"/>
      <c r="J7" s="22"/>
      <c r="K7" s="23"/>
      <c r="L7" s="21"/>
      <c r="M7" s="22"/>
      <c r="N7" s="22"/>
      <c r="O7" s="22"/>
      <c r="P7" s="21"/>
      <c r="Q7" s="22"/>
      <c r="R7" s="22"/>
      <c r="S7" s="22"/>
      <c r="T7" s="18"/>
      <c r="U7" s="21"/>
      <c r="V7" s="22"/>
      <c r="W7" s="22"/>
      <c r="X7" s="23"/>
    </row>
    <row r="8" spans="1:24" ht="19.649999999999999" customHeight="1">
      <c r="A8" s="3" t="s">
        <v>14</v>
      </c>
      <c r="D8" s="24">
        <v>492540</v>
      </c>
      <c r="E8" s="25">
        <v>506297</v>
      </c>
      <c r="F8" s="25">
        <v>517363</v>
      </c>
      <c r="G8" s="26">
        <v>547163</v>
      </c>
      <c r="H8" s="24">
        <v>490940</v>
      </c>
      <c r="I8" s="25">
        <v>497316</v>
      </c>
      <c r="J8" s="25">
        <v>501195</v>
      </c>
      <c r="K8" s="26">
        <v>523777</v>
      </c>
      <c r="L8" s="24">
        <v>477605</v>
      </c>
      <c r="M8" s="25">
        <v>517174</v>
      </c>
      <c r="N8" s="25">
        <v>499103</v>
      </c>
      <c r="O8" s="25">
        <v>514698</v>
      </c>
      <c r="P8" s="24">
        <v>352325</v>
      </c>
      <c r="Q8" s="25">
        <v>409623</v>
      </c>
      <c r="R8" s="25">
        <v>431123</v>
      </c>
      <c r="S8" s="25">
        <v>488998</v>
      </c>
      <c r="T8" s="61"/>
      <c r="U8" s="24">
        <f>SUM(D8:G8)</f>
        <v>2063363</v>
      </c>
      <c r="V8" s="25">
        <f>SUM(H8:K8)</f>
        <v>2013228</v>
      </c>
      <c r="W8" s="25">
        <f>SUM(L8:O8)</f>
        <v>2008580</v>
      </c>
      <c r="X8" s="26">
        <f>SUM(P8:S8)</f>
        <v>1682069</v>
      </c>
    </row>
    <row r="9" spans="1:24" ht="19.649999999999999" customHeight="1">
      <c r="A9" s="29" t="s">
        <v>15</v>
      </c>
      <c r="B9" s="29"/>
      <c r="C9" s="29"/>
      <c r="D9" s="30">
        <v>18930</v>
      </c>
      <c r="E9" s="31">
        <v>3085</v>
      </c>
      <c r="F9" s="31">
        <v>26019</v>
      </c>
      <c r="G9" s="32">
        <v>-163710</v>
      </c>
      <c r="H9" s="30">
        <v>19712</v>
      </c>
      <c r="I9" s="31">
        <v>32296</v>
      </c>
      <c r="J9" s="31">
        <v>27171</v>
      </c>
      <c r="K9" s="32">
        <v>7660</v>
      </c>
      <c r="L9" s="30">
        <v>27566</v>
      </c>
      <c r="M9" s="31">
        <v>21082</v>
      </c>
      <c r="N9" s="31">
        <v>20767</v>
      </c>
      <c r="O9" s="31">
        <v>9625</v>
      </c>
      <c r="P9" s="30">
        <v>-21272</v>
      </c>
      <c r="Q9" s="31">
        <v>-9346</v>
      </c>
      <c r="R9" s="31">
        <v>880</v>
      </c>
      <c r="S9" s="31">
        <v>-15691</v>
      </c>
      <c r="T9" s="61"/>
      <c r="U9" s="30">
        <f>U52</f>
        <v>-115676</v>
      </c>
      <c r="V9" s="31">
        <f>V52</f>
        <v>86839</v>
      </c>
      <c r="W9" s="31">
        <f>W52</f>
        <v>79040</v>
      </c>
      <c r="X9" s="32">
        <f>X52</f>
        <v>-45429</v>
      </c>
    </row>
    <row r="10" spans="1:24" s="19" customFormat="1" ht="16.5" customHeight="1">
      <c r="B10" s="19" t="s">
        <v>16</v>
      </c>
      <c r="D10" s="33">
        <f t="shared" ref="D10:M10" si="0">D52/D48</f>
        <v>3.8433426726763309E-2</v>
      </c>
      <c r="E10" s="34">
        <f t="shared" si="0"/>
        <v>6.0932614651084249E-3</v>
      </c>
      <c r="F10" s="34">
        <f t="shared" si="0"/>
        <v>5.0291574774384715E-2</v>
      </c>
      <c r="G10" s="35">
        <f t="shared" si="0"/>
        <v>-0.29919786242856333</v>
      </c>
      <c r="H10" s="33">
        <f t="shared" si="0"/>
        <v>4.0151546013769503E-2</v>
      </c>
      <c r="I10" s="34">
        <f>I52/I48</f>
        <v>6.4940601146956864E-2</v>
      </c>
      <c r="J10" s="34">
        <f t="shared" si="0"/>
        <v>5.4212432286834464E-2</v>
      </c>
      <c r="K10" s="35">
        <f t="shared" si="0"/>
        <v>1.4624544414894124E-2</v>
      </c>
      <c r="L10" s="33">
        <f t="shared" si="0"/>
        <v>5.7717151202353406E-2</v>
      </c>
      <c r="M10" s="34">
        <f t="shared" si="0"/>
        <v>4.0763843503347039E-2</v>
      </c>
      <c r="N10" s="34">
        <v>4.1608645910763908E-2</v>
      </c>
      <c r="O10" s="34">
        <v>1.8700286381528586E-2</v>
      </c>
      <c r="P10" s="33">
        <f t="shared" ref="P10:Q10" si="1">P52/P48</f>
        <v>-6.0376073227843607E-2</v>
      </c>
      <c r="Q10" s="34">
        <f t="shared" si="1"/>
        <v>-2.281610163491796E-2</v>
      </c>
      <c r="R10" s="34">
        <f>R52/R48</f>
        <v>2.0411808231061671E-3</v>
      </c>
      <c r="S10" s="34">
        <f>S52/S48</f>
        <v>-3.2088065799860122E-2</v>
      </c>
      <c r="T10" s="18"/>
      <c r="U10" s="33">
        <f>U52/U48</f>
        <v>-5.6061875685470761E-2</v>
      </c>
      <c r="V10" s="34">
        <f>V52/V48</f>
        <v>4.3134210332858476E-2</v>
      </c>
      <c r="W10" s="34">
        <f>W52/W48</f>
        <v>3.935118342311484E-2</v>
      </c>
      <c r="X10" s="35">
        <f>X52/X48</f>
        <v>-2.7007810024440138E-2</v>
      </c>
    </row>
    <row r="11" spans="1:24" ht="19.649999999999999" customHeight="1" collapsed="1">
      <c r="A11" s="5" t="s">
        <v>17</v>
      </c>
      <c r="B11" s="5"/>
      <c r="C11" s="5"/>
      <c r="D11" s="36">
        <v>10796</v>
      </c>
      <c r="E11" s="37">
        <v>-6269</v>
      </c>
      <c r="F11" s="37">
        <v>12808</v>
      </c>
      <c r="G11" s="38">
        <v>-152707</v>
      </c>
      <c r="H11" s="36">
        <v>9282</v>
      </c>
      <c r="I11" s="37">
        <v>26763</v>
      </c>
      <c r="J11" s="37">
        <v>14588</v>
      </c>
      <c r="K11" s="38">
        <v>-1107</v>
      </c>
      <c r="L11" s="36">
        <v>15624</v>
      </c>
      <c r="M11" s="37">
        <v>13634</v>
      </c>
      <c r="N11" s="37">
        <v>12211</v>
      </c>
      <c r="O11" s="37">
        <v>-1923</v>
      </c>
      <c r="P11" s="36">
        <v>-18659</v>
      </c>
      <c r="Q11" s="37">
        <v>-3536</v>
      </c>
      <c r="R11" s="37">
        <v>-276</v>
      </c>
      <c r="S11" s="37">
        <v>-10259</v>
      </c>
      <c r="T11" s="61"/>
      <c r="U11" s="36">
        <f>U60</f>
        <v>-135372</v>
      </c>
      <c r="V11" s="37">
        <f>V60</f>
        <v>49526</v>
      </c>
      <c r="W11" s="37">
        <f>W60</f>
        <v>39546</v>
      </c>
      <c r="X11" s="38">
        <f>X60</f>
        <v>-32730</v>
      </c>
    </row>
    <row r="12" spans="1:24" s="19" customFormat="1" ht="16.5" customHeight="1" thickBot="1">
      <c r="A12" s="39"/>
      <c r="B12" s="39" t="s">
        <v>16</v>
      </c>
      <c r="C12" s="39"/>
      <c r="D12" s="40">
        <f t="shared" ref="D12" si="2">D11/D48</f>
        <v>2.1919031956795388E-2</v>
      </c>
      <c r="E12" s="41">
        <f>E11/E48</f>
        <v>-1.2382060332176568E-2</v>
      </c>
      <c r="F12" s="41">
        <f t="shared" ref="F12:H12" si="3">F11/F48</f>
        <v>2.4756312299101406E-2</v>
      </c>
      <c r="G12" s="42">
        <f t="shared" si="3"/>
        <v>-0.27908868106944368</v>
      </c>
      <c r="H12" s="40">
        <f t="shared" si="3"/>
        <v>1.8906587363017886E-2</v>
      </c>
      <c r="I12" s="41">
        <f>I11/I48</f>
        <v>5.3814878266534756E-2</v>
      </c>
      <c r="J12" s="41">
        <f t="shared" ref="J12:M12" si="4">J11/J48</f>
        <v>2.9106435618870899E-2</v>
      </c>
      <c r="K12" s="42">
        <f t="shared" si="4"/>
        <v>-2.1134948651811746E-3</v>
      </c>
      <c r="L12" s="40">
        <f t="shared" si="4"/>
        <v>3.2713225364056069E-2</v>
      </c>
      <c r="M12" s="41">
        <f t="shared" si="4"/>
        <v>2.6362500821773716E-2</v>
      </c>
      <c r="N12" s="41">
        <v>2.4465891809906971E-2</v>
      </c>
      <c r="O12" s="41">
        <v>-3.7361715025121529E-3</v>
      </c>
      <c r="P12" s="40">
        <f t="shared" ref="P12:S12" si="5">P11/P48</f>
        <v>-5.295962534591641E-2</v>
      </c>
      <c r="Q12" s="41">
        <f t="shared" si="5"/>
        <v>-8.6323277745634398E-3</v>
      </c>
      <c r="R12" s="41">
        <f t="shared" si="5"/>
        <v>-6.401885308832978E-4</v>
      </c>
      <c r="S12" s="41">
        <f t="shared" si="5"/>
        <v>-2.0979635908531323E-2</v>
      </c>
      <c r="T12" s="18"/>
      <c r="U12" s="40">
        <f>U60/U48</f>
        <v>-6.5607457340274108E-2</v>
      </c>
      <c r="V12" s="41">
        <f>V60/V48</f>
        <v>2.4600293657747657E-2</v>
      </c>
      <c r="W12" s="41">
        <f>W60/W48</f>
        <v>1.9688536179788708E-2</v>
      </c>
      <c r="X12" s="42">
        <f>X60/X48</f>
        <v>-1.9458179182899157E-2</v>
      </c>
    </row>
    <row r="13" spans="1:24" ht="18.75" customHeight="1" thickBot="1">
      <c r="A13" s="43" t="s">
        <v>18</v>
      </c>
      <c r="B13" s="44"/>
      <c r="C13" s="44"/>
      <c r="D13" s="45">
        <f t="shared" ref="D13" si="6">D116</f>
        <v>6764</v>
      </c>
      <c r="E13" s="46">
        <v>-18008</v>
      </c>
      <c r="F13" s="46">
        <f t="shared" ref="F13:H13" si="7">F116</f>
        <v>10939</v>
      </c>
      <c r="G13" s="47">
        <f t="shared" si="7"/>
        <v>29516</v>
      </c>
      <c r="H13" s="45">
        <f t="shared" si="7"/>
        <v>48677</v>
      </c>
      <c r="I13" s="46">
        <v>-12236</v>
      </c>
      <c r="J13" s="46">
        <f t="shared" ref="J13:M13" si="8">J116</f>
        <v>-5622</v>
      </c>
      <c r="K13" s="47">
        <f t="shared" si="8"/>
        <v>5197</v>
      </c>
      <c r="L13" s="45">
        <f t="shared" si="8"/>
        <v>-6041</v>
      </c>
      <c r="M13" s="46">
        <f t="shared" si="8"/>
        <v>-47528</v>
      </c>
      <c r="N13" s="46">
        <v>-12763</v>
      </c>
      <c r="O13" s="46">
        <v>18442</v>
      </c>
      <c r="P13" s="45">
        <v>15899</v>
      </c>
      <c r="Q13" s="46">
        <v>-17682</v>
      </c>
      <c r="R13" s="46">
        <v>29010</v>
      </c>
      <c r="S13" s="46">
        <v>36176</v>
      </c>
      <c r="T13" s="61"/>
      <c r="U13" s="45">
        <f>U116</f>
        <v>29211</v>
      </c>
      <c r="V13" s="46">
        <f>V116</f>
        <v>36016</v>
      </c>
      <c r="W13" s="46">
        <f>W116</f>
        <v>-47890</v>
      </c>
      <c r="X13" s="47">
        <f>X116</f>
        <v>63403</v>
      </c>
    </row>
    <row r="14" spans="1:24" s="48" customFormat="1" ht="16.5" customHeight="1">
      <c r="B14" s="48" t="s">
        <v>19</v>
      </c>
      <c r="D14" s="49"/>
      <c r="E14" s="50"/>
      <c r="F14" s="50"/>
      <c r="G14" s="51"/>
      <c r="H14" s="49"/>
      <c r="I14" s="50"/>
      <c r="J14" s="50"/>
      <c r="K14" s="51"/>
      <c r="L14" s="49"/>
      <c r="M14" s="50"/>
      <c r="N14" s="50"/>
      <c r="O14" s="50"/>
      <c r="P14" s="49"/>
      <c r="Q14" s="50"/>
      <c r="R14" s="50"/>
      <c r="S14" s="50"/>
      <c r="T14" s="136"/>
      <c r="U14" s="211" t="s">
        <v>35</v>
      </c>
      <c r="V14" s="52">
        <f>V11/((U101+V101)/2)</f>
        <v>5.3770013386590175E-2</v>
      </c>
      <c r="W14" s="52">
        <f>W11/((V101+W101)/2)</f>
        <v>4.268441424152216E-2</v>
      </c>
      <c r="X14" s="212">
        <f>X11/((W101+X101)/2)</f>
        <v>-3.556416136545517E-2</v>
      </c>
    </row>
    <row r="15" spans="1:24" s="53" customFormat="1" ht="16.5" customHeight="1">
      <c r="B15" s="53" t="s">
        <v>20</v>
      </c>
      <c r="D15" s="33">
        <f t="shared" ref="D15:M15" si="9">D101/D104</f>
        <v>0.38061741842474045</v>
      </c>
      <c r="E15" s="34">
        <f t="shared" si="9"/>
        <v>0.37977610231763859</v>
      </c>
      <c r="F15" s="34">
        <f t="shared" si="9"/>
        <v>0.38329137644484168</v>
      </c>
      <c r="G15" s="35">
        <f t="shared" si="9"/>
        <v>0.3443978296346501</v>
      </c>
      <c r="H15" s="33">
        <f t="shared" si="9"/>
        <v>0.34291887812514737</v>
      </c>
      <c r="I15" s="34">
        <f t="shared" si="9"/>
        <v>0.35659852268480052</v>
      </c>
      <c r="J15" s="34">
        <f t="shared" si="9"/>
        <v>0.35462233361582429</v>
      </c>
      <c r="K15" s="35">
        <f t="shared" si="9"/>
        <v>0.34221351479487966</v>
      </c>
      <c r="L15" s="33">
        <f t="shared" si="9"/>
        <v>0.33165350271325406</v>
      </c>
      <c r="M15" s="34">
        <f t="shared" si="9"/>
        <v>0.32395544025209055</v>
      </c>
      <c r="N15" s="34">
        <v>0.32842477028523542</v>
      </c>
      <c r="O15" s="34">
        <v>0.32095011760521264</v>
      </c>
      <c r="P15" s="33">
        <f t="shared" ref="P15:S15" si="10">P101/P104</f>
        <v>0.49208587445090729</v>
      </c>
      <c r="Q15" s="34">
        <f t="shared" si="10"/>
        <v>0.48757611361656206</v>
      </c>
      <c r="R15" s="34">
        <f t="shared" si="10"/>
        <v>0.48615645011692638</v>
      </c>
      <c r="S15" s="34">
        <f t="shared" si="10"/>
        <v>0.48745251256973476</v>
      </c>
      <c r="T15" s="205"/>
      <c r="U15" s="33">
        <f>U101/U104</f>
        <v>0.3443978296346501</v>
      </c>
      <c r="V15" s="34">
        <f>V101/V104</f>
        <v>0.34221351479487966</v>
      </c>
      <c r="W15" s="34">
        <f>W101/W104</f>
        <v>0.32095011760521264</v>
      </c>
      <c r="X15" s="35">
        <f>X101/X104</f>
        <v>0.48745251256973476</v>
      </c>
    </row>
    <row r="16" spans="1:24" ht="19.649999999999999" customHeight="1" collapsed="1">
      <c r="A16" s="79"/>
      <c r="B16" s="79" t="s">
        <v>21</v>
      </c>
      <c r="C16" s="79"/>
      <c r="D16" s="98">
        <v>877051</v>
      </c>
      <c r="E16" s="88">
        <v>912851</v>
      </c>
      <c r="F16" s="88">
        <v>912284</v>
      </c>
      <c r="G16" s="99">
        <v>881901</v>
      </c>
      <c r="H16" s="98">
        <v>901470</v>
      </c>
      <c r="I16" s="88">
        <v>889339</v>
      </c>
      <c r="J16" s="88">
        <v>902000</v>
      </c>
      <c r="K16" s="99">
        <v>933419</v>
      </c>
      <c r="L16" s="98">
        <v>959063</v>
      </c>
      <c r="M16" s="88">
        <v>1022260</v>
      </c>
      <c r="N16" s="88">
        <v>1034082</v>
      </c>
      <c r="O16" s="99">
        <v>179664</v>
      </c>
      <c r="P16" s="98">
        <v>217311</v>
      </c>
      <c r="Q16" s="88">
        <v>262523</v>
      </c>
      <c r="R16" s="88">
        <v>242281</v>
      </c>
      <c r="S16" s="88">
        <v>222407</v>
      </c>
      <c r="T16" s="61"/>
      <c r="U16" s="98">
        <f>U85+U91</f>
        <v>881901</v>
      </c>
      <c r="V16" s="88">
        <f>V85+V91</f>
        <v>933419</v>
      </c>
      <c r="W16" s="88">
        <f>W85+W91</f>
        <v>179664</v>
      </c>
      <c r="X16" s="99">
        <f>X85+X91</f>
        <v>222407</v>
      </c>
    </row>
    <row r="17" spans="1:24" ht="14.4" customHeight="1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7"/>
      <c r="U17" s="25"/>
      <c r="V17" s="25"/>
      <c r="W17" s="25"/>
      <c r="X17" s="25"/>
    </row>
    <row r="18" spans="1:24" s="19" customFormat="1" ht="16.5" customHeight="1">
      <c r="A18" s="54" t="s">
        <v>22</v>
      </c>
      <c r="B18" s="17"/>
      <c r="C18" s="1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6"/>
      <c r="U18" s="55"/>
      <c r="V18" s="55"/>
      <c r="W18" s="55"/>
      <c r="X18" s="55"/>
    </row>
    <row r="19" spans="1:24" s="19" customFormat="1" ht="16.5" customHeight="1">
      <c r="A19" s="57"/>
      <c r="B19" s="57" t="s">
        <v>23</v>
      </c>
      <c r="C19" s="57"/>
      <c r="D19" s="58">
        <v>25539</v>
      </c>
      <c r="E19" s="59">
        <v>28872</v>
      </c>
      <c r="F19" s="59">
        <v>26050</v>
      </c>
      <c r="G19" s="60">
        <v>30554</v>
      </c>
      <c r="H19" s="58">
        <v>25558</v>
      </c>
      <c r="I19" s="59">
        <v>29746</v>
      </c>
      <c r="J19" s="59">
        <v>25063</v>
      </c>
      <c r="K19" s="60">
        <v>30646</v>
      </c>
      <c r="L19" s="58">
        <v>23579.576503814998</v>
      </c>
      <c r="M19" s="59">
        <v>28035</v>
      </c>
      <c r="N19" s="59">
        <v>24031</v>
      </c>
      <c r="O19" s="59">
        <v>27205</v>
      </c>
      <c r="P19" s="58">
        <v>21698.638621609392</v>
      </c>
      <c r="Q19" s="59">
        <v>23285.944545128204</v>
      </c>
      <c r="R19" s="59">
        <v>21139</v>
      </c>
      <c r="S19" s="59">
        <v>24262.65459049974</v>
      </c>
      <c r="T19" s="24"/>
      <c r="U19" s="36">
        <f>SUM(D19:G19)</f>
        <v>111015</v>
      </c>
      <c r="V19" s="37">
        <f>SUM(H19:K19)</f>
        <v>111013</v>
      </c>
      <c r="W19" s="37">
        <f t="shared" ref="W19:W21" si="11">SUM(L19:O19)</f>
        <v>102850.576503815</v>
      </c>
      <c r="X19" s="38">
        <f t="shared" ref="X19:X21" si="12">SUM(P19:S19)</f>
        <v>90386.237757237337</v>
      </c>
    </row>
    <row r="20" spans="1:24" s="57" customFormat="1" ht="16.5" customHeight="1">
      <c r="B20" s="57" t="s">
        <v>24</v>
      </c>
      <c r="D20" s="61">
        <v>16986</v>
      </c>
      <c r="E20" s="27">
        <v>17848</v>
      </c>
      <c r="F20" s="27">
        <v>16707</v>
      </c>
      <c r="G20" s="62">
        <v>16895</v>
      </c>
      <c r="H20" s="61">
        <v>17634</v>
      </c>
      <c r="I20" s="27">
        <v>16522</v>
      </c>
      <c r="J20" s="27">
        <v>15424</v>
      </c>
      <c r="K20" s="62">
        <v>15857</v>
      </c>
      <c r="L20" s="61">
        <v>15388</v>
      </c>
      <c r="M20" s="27">
        <v>17103</v>
      </c>
      <c r="N20" s="27">
        <v>16067</v>
      </c>
      <c r="O20" s="27">
        <v>13970</v>
      </c>
      <c r="P20" s="61">
        <v>11392.286489149395</v>
      </c>
      <c r="Q20" s="27">
        <v>11508.749158348466</v>
      </c>
      <c r="R20" s="27">
        <v>11311</v>
      </c>
      <c r="S20" s="27">
        <v>11176.388687977211</v>
      </c>
      <c r="T20" s="24"/>
      <c r="U20" s="24">
        <f>SUM(D20:G20)</f>
        <v>68436</v>
      </c>
      <c r="V20" s="25">
        <f t="shared" ref="V20" si="13">SUM(H20:K20)</f>
        <v>65437</v>
      </c>
      <c r="W20" s="25">
        <f t="shared" si="11"/>
        <v>62528</v>
      </c>
      <c r="X20" s="26">
        <f t="shared" si="12"/>
        <v>45388.424335475072</v>
      </c>
    </row>
    <row r="21" spans="1:24" s="57" customFormat="1" ht="17.25" customHeight="1">
      <c r="B21" s="71" t="s">
        <v>25</v>
      </c>
      <c r="C21" s="71"/>
      <c r="D21" s="95">
        <v>13579</v>
      </c>
      <c r="E21" s="96">
        <v>14809</v>
      </c>
      <c r="F21" s="96">
        <v>17749</v>
      </c>
      <c r="G21" s="97">
        <v>26148</v>
      </c>
      <c r="H21" s="95">
        <v>14404</v>
      </c>
      <c r="I21" s="96">
        <v>21200</v>
      </c>
      <c r="J21" s="96">
        <v>14868</v>
      </c>
      <c r="K21" s="97">
        <v>21990</v>
      </c>
      <c r="L21" s="95">
        <v>14776.666862718699</v>
      </c>
      <c r="M21" s="96">
        <v>23373</v>
      </c>
      <c r="N21" s="96">
        <v>22859</v>
      </c>
      <c r="O21" s="97">
        <v>25587</v>
      </c>
      <c r="P21" s="95">
        <v>11999.973196805566</v>
      </c>
      <c r="Q21" s="96">
        <v>10457.084829388854</v>
      </c>
      <c r="R21" s="96">
        <v>7483</v>
      </c>
      <c r="S21" s="96">
        <v>12214.433480626387</v>
      </c>
      <c r="T21" s="24"/>
      <c r="U21" s="98">
        <f>SUM(D21:G21)</f>
        <v>72285</v>
      </c>
      <c r="V21" s="88">
        <v>72462</v>
      </c>
      <c r="W21" s="88">
        <f t="shared" si="11"/>
        <v>86595.666862718703</v>
      </c>
      <c r="X21" s="99">
        <f t="shared" si="12"/>
        <v>42154.491506820807</v>
      </c>
    </row>
    <row r="22" spans="1:24" s="57" customFormat="1" ht="14.4" customHeight="1">
      <c r="V22" s="64"/>
    </row>
    <row r="23" spans="1:24" s="19" customFormat="1" ht="15" customHeight="1">
      <c r="A23" s="63" t="s">
        <v>26</v>
      </c>
      <c r="V23" s="17"/>
    </row>
    <row r="24" spans="1:24" s="57" customFormat="1" ht="16.5" customHeight="1">
      <c r="A24" s="64"/>
      <c r="B24" s="64" t="s">
        <v>27</v>
      </c>
      <c r="C24" s="64"/>
      <c r="D24" s="65">
        <v>35.700000000000003</v>
      </c>
      <c r="E24" s="66">
        <v>35.200000000000003</v>
      </c>
      <c r="F24" s="66">
        <v>34.9</v>
      </c>
      <c r="G24" s="67">
        <v>33.700000000000003</v>
      </c>
      <c r="H24" s="65">
        <v>33.9</v>
      </c>
      <c r="I24" s="66">
        <v>32.4</v>
      </c>
      <c r="J24" s="66">
        <v>32.1</v>
      </c>
      <c r="K24" s="67">
        <v>31.9</v>
      </c>
      <c r="L24" s="65">
        <v>32.1</v>
      </c>
      <c r="M24" s="66">
        <v>31.9</v>
      </c>
      <c r="N24" s="66">
        <v>31.7</v>
      </c>
      <c r="O24" s="66">
        <v>31.6</v>
      </c>
      <c r="P24" s="65">
        <v>31.2</v>
      </c>
      <c r="Q24" s="66">
        <v>30.9</v>
      </c>
      <c r="R24" s="66">
        <v>30.6</v>
      </c>
      <c r="S24" s="66">
        <v>30.3</v>
      </c>
      <c r="T24" s="69"/>
      <c r="U24" s="65">
        <v>33.700000000000003</v>
      </c>
      <c r="V24" s="66">
        <v>31.9</v>
      </c>
      <c r="W24" s="66">
        <v>31.6</v>
      </c>
      <c r="X24" s="67">
        <f>S24</f>
        <v>30.3</v>
      </c>
    </row>
    <row r="25" spans="1:24" s="57" customFormat="1" ht="16.5" customHeight="1">
      <c r="B25" s="57" t="s">
        <v>28</v>
      </c>
      <c r="D25" s="69">
        <v>67.5</v>
      </c>
      <c r="E25" s="68">
        <v>66.099999999999994</v>
      </c>
      <c r="F25" s="68">
        <v>65.3</v>
      </c>
      <c r="G25" s="70">
        <v>64</v>
      </c>
      <c r="H25" s="69">
        <v>62.7</v>
      </c>
      <c r="I25" s="68">
        <v>62.1</v>
      </c>
      <c r="J25" s="68">
        <v>61.7</v>
      </c>
      <c r="K25" s="70">
        <v>60.7</v>
      </c>
      <c r="L25" s="69">
        <v>59.9</v>
      </c>
      <c r="M25" s="68">
        <v>59.6</v>
      </c>
      <c r="N25" s="68">
        <v>58.8</v>
      </c>
      <c r="O25" s="68">
        <v>58.4</v>
      </c>
      <c r="P25" s="69">
        <v>55.5</v>
      </c>
      <c r="Q25" s="68">
        <v>53.3</v>
      </c>
      <c r="R25" s="68">
        <v>52.2</v>
      </c>
      <c r="S25" s="68">
        <v>50.8</v>
      </c>
      <c r="T25" s="69"/>
      <c r="U25" s="69">
        <v>64</v>
      </c>
      <c r="V25" s="68">
        <v>60.7</v>
      </c>
      <c r="W25" s="68">
        <v>58.4</v>
      </c>
      <c r="X25" s="70">
        <f t="shared" ref="X25:X26" si="14">S25</f>
        <v>50.8</v>
      </c>
    </row>
    <row r="26" spans="1:24" s="57" customFormat="1" ht="16.5" customHeight="1">
      <c r="A26" s="71"/>
      <c r="B26" s="71" t="s">
        <v>29</v>
      </c>
      <c r="C26" s="71"/>
      <c r="D26" s="72">
        <v>103.2</v>
      </c>
      <c r="E26" s="73">
        <v>101.4</v>
      </c>
      <c r="F26" s="73">
        <v>100.2</v>
      </c>
      <c r="G26" s="74">
        <v>97.8</v>
      </c>
      <c r="H26" s="72">
        <v>96.6</v>
      </c>
      <c r="I26" s="73">
        <v>94.5</v>
      </c>
      <c r="J26" s="73">
        <v>93.8</v>
      </c>
      <c r="K26" s="74">
        <v>92.6</v>
      </c>
      <c r="L26" s="72">
        <v>92</v>
      </c>
      <c r="M26" s="73">
        <v>91.6</v>
      </c>
      <c r="N26" s="73">
        <v>90.6</v>
      </c>
      <c r="O26" s="73">
        <v>90.1</v>
      </c>
      <c r="P26" s="72">
        <v>86.7</v>
      </c>
      <c r="Q26" s="73">
        <v>84.2</v>
      </c>
      <c r="R26" s="73">
        <v>82.9</v>
      </c>
      <c r="S26" s="73">
        <v>81.099999999999994</v>
      </c>
      <c r="T26" s="69"/>
      <c r="U26" s="72">
        <v>97.8</v>
      </c>
      <c r="V26" s="73">
        <v>92.6</v>
      </c>
      <c r="W26" s="73">
        <v>90.1</v>
      </c>
      <c r="X26" s="74">
        <f t="shared" si="14"/>
        <v>81.099999999999994</v>
      </c>
    </row>
    <row r="30" spans="1:24" s="19" customFormat="1" collapsed="1">
      <c r="A30" s="75" t="s">
        <v>30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U30" s="77"/>
      <c r="V30" s="77"/>
      <c r="W30" s="77"/>
      <c r="X30" s="77"/>
    </row>
    <row r="31" spans="1:24" s="19" customFormat="1">
      <c r="A31" s="16"/>
      <c r="B31" s="17"/>
      <c r="C31" s="1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U31" s="78"/>
      <c r="V31" s="78"/>
      <c r="W31" s="78"/>
      <c r="X31" s="78"/>
    </row>
    <row r="32" spans="1:24">
      <c r="A32" s="5"/>
      <c r="B32" s="5"/>
      <c r="C32" s="5"/>
      <c r="D32" s="6"/>
      <c r="E32" s="5"/>
      <c r="F32" s="5"/>
      <c r="G32" s="7"/>
      <c r="H32" s="6"/>
      <c r="I32" s="5"/>
      <c r="J32" s="5"/>
      <c r="K32" s="7"/>
      <c r="L32" s="6"/>
      <c r="M32" s="5"/>
      <c r="N32" s="5"/>
      <c r="O32" s="5"/>
      <c r="P32" s="6"/>
      <c r="Q32" s="5"/>
      <c r="R32" s="5"/>
      <c r="S32" s="7"/>
      <c r="T32" s="204"/>
      <c r="U32" s="6"/>
      <c r="V32" s="5"/>
      <c r="W32" s="5"/>
      <c r="X32" s="7"/>
    </row>
    <row r="33" spans="1:24">
      <c r="D33" s="8" t="str">
        <f>D4</f>
        <v>FY2017</v>
      </c>
      <c r="E33" s="79"/>
      <c r="F33" s="79"/>
      <c r="G33" s="80"/>
      <c r="H33" s="8" t="str">
        <f>H4</f>
        <v>FY2018</v>
      </c>
      <c r="I33" s="79"/>
      <c r="J33" s="79"/>
      <c r="K33" s="80"/>
      <c r="L33" s="8" t="str">
        <f>L4</f>
        <v>FY2019</v>
      </c>
      <c r="M33" s="79"/>
      <c r="N33" s="79"/>
      <c r="O33" s="79"/>
      <c r="P33" s="8" t="str">
        <f>P4</f>
        <v>FY2020</v>
      </c>
      <c r="Q33" s="79"/>
      <c r="R33" s="79"/>
      <c r="S33" s="80"/>
      <c r="T33" s="204"/>
      <c r="U33" s="207" t="str">
        <f>U4</f>
        <v>FY2017</v>
      </c>
      <c r="V33" s="11" t="str">
        <f>V4</f>
        <v>FY2018</v>
      </c>
      <c r="W33" s="11" t="str">
        <f>W4</f>
        <v>FY2019</v>
      </c>
      <c r="X33" s="208" t="str">
        <f>X4</f>
        <v>FY2020</v>
      </c>
    </row>
    <row r="34" spans="1:24" ht="19.649999999999999" customHeight="1">
      <c r="A34" s="79"/>
      <c r="B34" s="79"/>
      <c r="C34" s="79"/>
      <c r="D34" s="12" t="s">
        <v>9</v>
      </c>
      <c r="E34" s="13" t="s">
        <v>10</v>
      </c>
      <c r="F34" s="13" t="str">
        <f>F5</f>
        <v>Q3</v>
      </c>
      <c r="G34" s="14" t="str">
        <f>G5</f>
        <v>Q4</v>
      </c>
      <c r="H34" s="12" t="s">
        <v>9</v>
      </c>
      <c r="I34" s="13" t="s">
        <v>10</v>
      </c>
      <c r="J34" s="13" t="str">
        <f>J5</f>
        <v>Q3</v>
      </c>
      <c r="K34" s="14" t="str">
        <f>K5</f>
        <v>Q4</v>
      </c>
      <c r="L34" s="12" t="s">
        <v>9</v>
      </c>
      <c r="M34" s="13" t="s">
        <v>10</v>
      </c>
      <c r="N34" s="13" t="s">
        <v>11</v>
      </c>
      <c r="O34" s="13" t="str">
        <f>O5</f>
        <v>Q4</v>
      </c>
      <c r="P34" s="12" t="s">
        <v>9</v>
      </c>
      <c r="Q34" s="13" t="s">
        <v>10</v>
      </c>
      <c r="R34" s="13" t="str">
        <f>R5</f>
        <v>Q3</v>
      </c>
      <c r="S34" s="14" t="str">
        <f>S5</f>
        <v>Q4</v>
      </c>
      <c r="T34" s="204"/>
      <c r="U34" s="209"/>
      <c r="V34" s="15"/>
      <c r="W34" s="15"/>
      <c r="X34" s="210"/>
    </row>
    <row r="35" spans="1:24" s="19" customFormat="1" ht="16.5" customHeight="1">
      <c r="B35" s="19" t="s">
        <v>31</v>
      </c>
      <c r="D35" s="81"/>
      <c r="E35" s="82"/>
      <c r="F35" s="82"/>
      <c r="G35" s="83"/>
      <c r="H35" s="81"/>
      <c r="I35" s="82"/>
      <c r="J35" s="82"/>
      <c r="K35" s="83"/>
      <c r="L35" s="81"/>
      <c r="M35" s="82"/>
      <c r="N35" s="82"/>
      <c r="O35" s="82"/>
      <c r="P35" s="81"/>
      <c r="Q35" s="82"/>
      <c r="R35" s="82"/>
      <c r="S35" s="83"/>
      <c r="T35" s="18"/>
      <c r="U35" s="213">
        <v>-186.75</v>
      </c>
      <c r="V35" s="87">
        <v>68.319999999999993</v>
      </c>
      <c r="W35" s="87">
        <v>54.58</v>
      </c>
      <c r="X35" s="221">
        <v>-45.2</v>
      </c>
    </row>
    <row r="36" spans="1:24" s="19" customFormat="1" ht="16.5" customHeight="1">
      <c r="B36" s="19" t="s">
        <v>32</v>
      </c>
      <c r="D36" s="81"/>
      <c r="E36" s="82"/>
      <c r="F36" s="82"/>
      <c r="G36" s="83"/>
      <c r="H36" s="81"/>
      <c r="I36" s="82"/>
      <c r="J36" s="82"/>
      <c r="K36" s="83"/>
      <c r="L36" s="81"/>
      <c r="M36" s="82"/>
      <c r="N36" s="82"/>
      <c r="O36" s="82"/>
      <c r="P36" s="81"/>
      <c r="Q36" s="82"/>
      <c r="R36" s="82"/>
      <c r="S36" s="83"/>
      <c r="T36" s="18"/>
      <c r="U36" s="214" t="s">
        <v>35</v>
      </c>
      <c r="V36" s="219" t="s">
        <v>35</v>
      </c>
      <c r="W36" s="219">
        <v>54.58</v>
      </c>
      <c r="X36" s="215">
        <v>-45.2</v>
      </c>
    </row>
    <row r="37" spans="1:24" s="19" customFormat="1" ht="16.5" customHeight="1">
      <c r="B37" s="19" t="s">
        <v>33</v>
      </c>
      <c r="D37" s="81"/>
      <c r="E37" s="82"/>
      <c r="F37" s="82"/>
      <c r="G37" s="83"/>
      <c r="H37" s="81"/>
      <c r="I37" s="82"/>
      <c r="J37" s="82"/>
      <c r="K37" s="83"/>
      <c r="L37" s="81"/>
      <c r="M37" s="82"/>
      <c r="N37" s="82"/>
      <c r="O37" s="82"/>
      <c r="P37" s="81"/>
      <c r="Q37" s="82"/>
      <c r="R37" s="82"/>
      <c r="S37" s="83"/>
      <c r="T37" s="18"/>
      <c r="U37" s="213">
        <v>15</v>
      </c>
      <c r="V37" s="87">
        <v>23</v>
      </c>
      <c r="W37" s="87">
        <v>26</v>
      </c>
      <c r="X37" s="221">
        <v>15</v>
      </c>
    </row>
    <row r="38" spans="1:24" s="19" customFormat="1" ht="15" customHeight="1">
      <c r="B38" s="19" t="s">
        <v>34</v>
      </c>
      <c r="D38" s="81"/>
      <c r="E38" s="82"/>
      <c r="F38" s="82"/>
      <c r="G38" s="83"/>
      <c r="H38" s="81"/>
      <c r="I38" s="82"/>
      <c r="J38" s="82"/>
      <c r="K38" s="83"/>
      <c r="L38" s="81"/>
      <c r="M38" s="82"/>
      <c r="N38" s="82"/>
      <c r="O38" s="82"/>
      <c r="P38" s="81"/>
      <c r="Q38" s="82"/>
      <c r="R38" s="82"/>
      <c r="S38" s="83"/>
      <c r="T38" s="18"/>
      <c r="U38" s="216" t="s">
        <v>35</v>
      </c>
      <c r="V38" s="86">
        <f>V37/V35</f>
        <v>0.33665105386416866</v>
      </c>
      <c r="W38" s="86">
        <f>W37/W35</f>
        <v>0.47636496885305973</v>
      </c>
      <c r="X38" s="217" t="s">
        <v>35</v>
      </c>
    </row>
    <row r="39" spans="1:24" s="19" customFormat="1" ht="15" customHeight="1">
      <c r="A39" s="17"/>
      <c r="B39" s="17" t="s">
        <v>36</v>
      </c>
      <c r="C39" s="17"/>
      <c r="D39" s="201"/>
      <c r="E39" s="202"/>
      <c r="F39" s="202"/>
      <c r="G39" s="203"/>
      <c r="H39" s="201"/>
      <c r="I39" s="202"/>
      <c r="J39" s="202"/>
      <c r="K39" s="203"/>
      <c r="L39" s="201"/>
      <c r="M39" s="202"/>
      <c r="N39" s="202"/>
      <c r="O39" s="203"/>
      <c r="P39" s="201"/>
      <c r="Q39" s="202"/>
      <c r="R39" s="202"/>
      <c r="S39" s="203"/>
      <c r="T39" s="18"/>
      <c r="U39" s="218">
        <v>1254.79</v>
      </c>
      <c r="V39" s="220">
        <v>1286.56</v>
      </c>
      <c r="W39" s="220">
        <v>1270.47</v>
      </c>
      <c r="X39" s="222">
        <v>1281.29</v>
      </c>
    </row>
    <row r="43" spans="1:24" ht="25.65" customHeight="1">
      <c r="A43" s="1" t="s">
        <v>37</v>
      </c>
      <c r="B43" s="2"/>
      <c r="C43" s="2"/>
    </row>
    <row r="44" spans="1:24" ht="13.95" customHeight="1">
      <c r="A44" s="4"/>
    </row>
    <row r="45" spans="1:24">
      <c r="A45" s="5"/>
      <c r="B45" s="5"/>
      <c r="C45" s="5"/>
      <c r="D45" s="6"/>
      <c r="E45" s="5"/>
      <c r="F45" s="5"/>
      <c r="G45" s="7"/>
      <c r="H45" s="6"/>
      <c r="I45" s="5"/>
      <c r="J45" s="5"/>
      <c r="K45" s="7"/>
      <c r="L45" s="6"/>
      <c r="M45" s="5"/>
      <c r="N45" s="5"/>
      <c r="O45" s="7"/>
      <c r="P45" s="6"/>
      <c r="Q45" s="5"/>
      <c r="R45" s="5"/>
      <c r="S45" s="7"/>
      <c r="T45" s="204"/>
      <c r="U45" s="6"/>
      <c r="V45" s="5"/>
      <c r="W45" s="5"/>
      <c r="X45" s="7"/>
    </row>
    <row r="46" spans="1:24">
      <c r="D46" s="8" t="str">
        <f>D4</f>
        <v>FY2017</v>
      </c>
      <c r="E46" s="79"/>
      <c r="F46" s="79"/>
      <c r="G46" s="80"/>
      <c r="H46" s="8" t="str">
        <f>H4</f>
        <v>FY2018</v>
      </c>
      <c r="I46" s="79"/>
      <c r="J46" s="79"/>
      <c r="K46" s="80"/>
      <c r="L46" s="8" t="str">
        <f>L4</f>
        <v>FY2019</v>
      </c>
      <c r="M46" s="79"/>
      <c r="N46" s="79"/>
      <c r="O46" s="80"/>
      <c r="P46" s="8" t="str">
        <f>P4</f>
        <v>FY2020</v>
      </c>
      <c r="Q46" s="79"/>
      <c r="R46" s="79"/>
      <c r="S46" s="80"/>
      <c r="T46" s="204"/>
      <c r="U46" s="207" t="str">
        <f>U4</f>
        <v>FY2017</v>
      </c>
      <c r="V46" s="11" t="str">
        <f>V4</f>
        <v>FY2018</v>
      </c>
      <c r="W46" s="11" t="str">
        <f>W4</f>
        <v>FY2019</v>
      </c>
      <c r="X46" s="208" t="str">
        <f>X4</f>
        <v>FY2020</v>
      </c>
    </row>
    <row r="47" spans="1:24" ht="19.649999999999999" customHeight="1">
      <c r="A47" s="79"/>
      <c r="B47" s="79"/>
      <c r="C47" s="79"/>
      <c r="D47" s="12" t="s">
        <v>9</v>
      </c>
      <c r="E47" s="13" t="s">
        <v>10</v>
      </c>
      <c r="F47" s="13" t="str">
        <f>F5</f>
        <v>Q3</v>
      </c>
      <c r="G47" s="14" t="str">
        <f>G5</f>
        <v>Q4</v>
      </c>
      <c r="H47" s="12" t="s">
        <v>9</v>
      </c>
      <c r="I47" s="13" t="s">
        <v>10</v>
      </c>
      <c r="J47" s="13" t="str">
        <f>J5</f>
        <v>Q3</v>
      </c>
      <c r="K47" s="14" t="str">
        <f>K5</f>
        <v>Q4</v>
      </c>
      <c r="L47" s="12" t="s">
        <v>9</v>
      </c>
      <c r="M47" s="13" t="s">
        <v>10</v>
      </c>
      <c r="N47" s="13" t="s">
        <v>11</v>
      </c>
      <c r="O47" s="14" t="str">
        <f>O5</f>
        <v>Q4</v>
      </c>
      <c r="P47" s="12" t="s">
        <v>9</v>
      </c>
      <c r="Q47" s="13" t="s">
        <v>10</v>
      </c>
      <c r="R47" s="13" t="str">
        <f>R5</f>
        <v>Q3</v>
      </c>
      <c r="S47" s="14" t="str">
        <f>S5</f>
        <v>Q4</v>
      </c>
      <c r="T47" s="204"/>
      <c r="U47" s="209"/>
      <c r="V47" s="15"/>
      <c r="W47" s="15"/>
      <c r="X47" s="210"/>
    </row>
    <row r="48" spans="1:24" ht="19.649999999999999" customHeight="1">
      <c r="A48" s="3" t="s">
        <v>14</v>
      </c>
      <c r="D48" s="36">
        <f>+D8</f>
        <v>492540</v>
      </c>
      <c r="E48" s="25">
        <f>+E8</f>
        <v>506297</v>
      </c>
      <c r="F48" s="25">
        <f t="shared" ref="F48:G48" si="15">+F8</f>
        <v>517363</v>
      </c>
      <c r="G48" s="26">
        <f t="shared" si="15"/>
        <v>547163</v>
      </c>
      <c r="H48" s="36">
        <f>+H8</f>
        <v>490940</v>
      </c>
      <c r="I48" s="25">
        <f>+I8</f>
        <v>497316</v>
      </c>
      <c r="J48" s="25">
        <f t="shared" ref="J48:K48" si="16">+J8</f>
        <v>501195</v>
      </c>
      <c r="K48" s="26">
        <f t="shared" si="16"/>
        <v>523777</v>
      </c>
      <c r="L48" s="36">
        <v>477605</v>
      </c>
      <c r="M48" s="25">
        <v>517174</v>
      </c>
      <c r="N48" s="25">
        <v>499103</v>
      </c>
      <c r="O48" s="26">
        <v>514698</v>
      </c>
      <c r="P48" s="36">
        <v>352325</v>
      </c>
      <c r="Q48" s="25">
        <v>409623</v>
      </c>
      <c r="R48" s="25">
        <v>431123</v>
      </c>
      <c r="S48" s="26">
        <v>488998</v>
      </c>
      <c r="T48" s="61"/>
      <c r="U48" s="24">
        <f t="shared" ref="U48:U56" si="17">SUM(D48:G48)</f>
        <v>2063363</v>
      </c>
      <c r="V48" s="25">
        <f>SUM(H48:K48)</f>
        <v>2013228</v>
      </c>
      <c r="W48" s="25">
        <f t="shared" ref="W48:W56" si="18">SUM(L48:O48)</f>
        <v>2008580</v>
      </c>
      <c r="X48" s="26">
        <f t="shared" ref="X48:X56" si="19">SUM(P48:S48)</f>
        <v>1682069</v>
      </c>
    </row>
    <row r="49" spans="1:24" ht="19.649999999999999" customHeight="1">
      <c r="A49" s="3" t="s">
        <v>38</v>
      </c>
      <c r="D49" s="24">
        <f>+D48-D50</f>
        <v>292544</v>
      </c>
      <c r="E49" s="25">
        <f>+E48-E50</f>
        <v>315865</v>
      </c>
      <c r="F49" s="25">
        <f t="shared" ref="F49:G49" si="20">+F48-F50</f>
        <v>313847</v>
      </c>
      <c r="G49" s="26">
        <f t="shared" si="20"/>
        <v>350101</v>
      </c>
      <c r="H49" s="24">
        <f>+H48-H50</f>
        <v>296500</v>
      </c>
      <c r="I49" s="25">
        <f>+I48-I50</f>
        <v>307863</v>
      </c>
      <c r="J49" s="25">
        <f t="shared" ref="J49:K49" si="21">+J48-J50</f>
        <v>310019</v>
      </c>
      <c r="K49" s="26">
        <f t="shared" si="21"/>
        <v>331963</v>
      </c>
      <c r="L49" s="24">
        <v>293196</v>
      </c>
      <c r="M49" s="25">
        <v>334210</v>
      </c>
      <c r="N49" s="25">
        <v>317128</v>
      </c>
      <c r="O49" s="26">
        <v>342469</v>
      </c>
      <c r="P49" s="24">
        <v>230252</v>
      </c>
      <c r="Q49" s="25">
        <v>269279</v>
      </c>
      <c r="R49" s="25">
        <v>277823</v>
      </c>
      <c r="S49" s="26">
        <v>332408</v>
      </c>
      <c r="T49" s="61"/>
      <c r="U49" s="24">
        <f t="shared" si="17"/>
        <v>1272357</v>
      </c>
      <c r="V49" s="25">
        <f>SUM(H49:K49)</f>
        <v>1246345</v>
      </c>
      <c r="W49" s="25">
        <f t="shared" si="18"/>
        <v>1287003</v>
      </c>
      <c r="X49" s="26">
        <f t="shared" si="19"/>
        <v>1109762</v>
      </c>
    </row>
    <row r="50" spans="1:24" ht="19.649999999999999" customHeight="1">
      <c r="A50" s="29" t="s">
        <v>39</v>
      </c>
      <c r="B50" s="29"/>
      <c r="C50" s="29"/>
      <c r="D50" s="30">
        <v>199996</v>
      </c>
      <c r="E50" s="31">
        <v>190432</v>
      </c>
      <c r="F50" s="31">
        <v>203516</v>
      </c>
      <c r="G50" s="32">
        <v>197062</v>
      </c>
      <c r="H50" s="30">
        <v>194440</v>
      </c>
      <c r="I50" s="31">
        <v>189453</v>
      </c>
      <c r="J50" s="31">
        <v>191176</v>
      </c>
      <c r="K50" s="32">
        <v>191814</v>
      </c>
      <c r="L50" s="30">
        <v>184409</v>
      </c>
      <c r="M50" s="31">
        <v>182964</v>
      </c>
      <c r="N50" s="31">
        <v>181975</v>
      </c>
      <c r="O50" s="32">
        <v>172229</v>
      </c>
      <c r="P50" s="30">
        <v>122073</v>
      </c>
      <c r="Q50" s="31">
        <v>140344</v>
      </c>
      <c r="R50" s="31">
        <v>153300</v>
      </c>
      <c r="S50" s="32">
        <v>156590</v>
      </c>
      <c r="T50" s="61"/>
      <c r="U50" s="30">
        <f t="shared" si="17"/>
        <v>791006</v>
      </c>
      <c r="V50" s="31">
        <f t="shared" ref="V50:V56" si="22">SUM(H50:K50)</f>
        <v>766883</v>
      </c>
      <c r="W50" s="31">
        <f t="shared" si="18"/>
        <v>721577</v>
      </c>
      <c r="X50" s="32">
        <f t="shared" si="19"/>
        <v>572307</v>
      </c>
    </row>
    <row r="51" spans="1:24" ht="19.649999999999999" customHeight="1">
      <c r="A51" s="3" t="s">
        <v>40</v>
      </c>
      <c r="D51" s="24">
        <f>+D50-D52</f>
        <v>181066</v>
      </c>
      <c r="E51" s="25">
        <f t="shared" ref="E51:G51" si="23">+E50-E52</f>
        <v>187347</v>
      </c>
      <c r="F51" s="25">
        <f t="shared" si="23"/>
        <v>177497</v>
      </c>
      <c r="G51" s="26">
        <f t="shared" si="23"/>
        <v>360772</v>
      </c>
      <c r="H51" s="24">
        <f>+H50-H52</f>
        <v>174728</v>
      </c>
      <c r="I51" s="25">
        <f t="shared" ref="I51:K51" si="24">+I50-I52</f>
        <v>157157</v>
      </c>
      <c r="J51" s="25">
        <f t="shared" si="24"/>
        <v>164005</v>
      </c>
      <c r="K51" s="26">
        <f t="shared" si="24"/>
        <v>184154</v>
      </c>
      <c r="L51" s="24">
        <v>156843</v>
      </c>
      <c r="M51" s="25">
        <f t="shared" ref="M51" si="25">+M50-M52</f>
        <v>161882</v>
      </c>
      <c r="N51" s="25">
        <v>161208</v>
      </c>
      <c r="O51" s="26">
        <v>162604</v>
      </c>
      <c r="P51" s="24">
        <v>143345</v>
      </c>
      <c r="Q51" s="25">
        <v>149690</v>
      </c>
      <c r="R51" s="25">
        <v>152420</v>
      </c>
      <c r="S51" s="26">
        <v>172281</v>
      </c>
      <c r="T51" s="61"/>
      <c r="U51" s="24">
        <f t="shared" si="17"/>
        <v>906682</v>
      </c>
      <c r="V51" s="25">
        <f t="shared" si="22"/>
        <v>680044</v>
      </c>
      <c r="W51" s="25">
        <f t="shared" si="18"/>
        <v>642537</v>
      </c>
      <c r="X51" s="26">
        <f t="shared" si="19"/>
        <v>617736</v>
      </c>
    </row>
    <row r="52" spans="1:24" ht="19.649999999999999" customHeight="1">
      <c r="A52" s="29" t="s">
        <v>15</v>
      </c>
      <c r="B52" s="29"/>
      <c r="C52" s="29"/>
      <c r="D52" s="30">
        <f>+D9</f>
        <v>18930</v>
      </c>
      <c r="E52" s="31">
        <f t="shared" ref="E52:G52" si="26">+E9</f>
        <v>3085</v>
      </c>
      <c r="F52" s="31">
        <f t="shared" si="26"/>
        <v>26019</v>
      </c>
      <c r="G52" s="32">
        <f t="shared" si="26"/>
        <v>-163710</v>
      </c>
      <c r="H52" s="30">
        <f>+H9</f>
        <v>19712</v>
      </c>
      <c r="I52" s="31">
        <f t="shared" ref="I52:K52" si="27">+I9</f>
        <v>32296</v>
      </c>
      <c r="J52" s="31">
        <f t="shared" si="27"/>
        <v>27171</v>
      </c>
      <c r="K52" s="32">
        <f t="shared" si="27"/>
        <v>7660</v>
      </c>
      <c r="L52" s="30">
        <v>27566</v>
      </c>
      <c r="M52" s="31">
        <v>21082</v>
      </c>
      <c r="N52" s="31">
        <v>20767</v>
      </c>
      <c r="O52" s="32">
        <v>9625</v>
      </c>
      <c r="P52" s="30">
        <v>-21272</v>
      </c>
      <c r="Q52" s="31">
        <v>-9346</v>
      </c>
      <c r="R52" s="31">
        <v>880</v>
      </c>
      <c r="S52" s="32">
        <v>-15691</v>
      </c>
      <c r="T52" s="61"/>
      <c r="U52" s="30">
        <f t="shared" si="17"/>
        <v>-115676</v>
      </c>
      <c r="V52" s="31">
        <f t="shared" si="22"/>
        <v>86839</v>
      </c>
      <c r="W52" s="31">
        <f t="shared" si="18"/>
        <v>79040</v>
      </c>
      <c r="X52" s="32">
        <f t="shared" si="19"/>
        <v>-45429</v>
      </c>
    </row>
    <row r="53" spans="1:24" ht="19.649999999999999" customHeight="1">
      <c r="B53" s="3" t="s">
        <v>41</v>
      </c>
      <c r="D53" s="24">
        <v>802</v>
      </c>
      <c r="E53" s="25">
        <v>1101</v>
      </c>
      <c r="F53" s="25">
        <v>963</v>
      </c>
      <c r="G53" s="26">
        <v>1257</v>
      </c>
      <c r="H53" s="24">
        <v>1266</v>
      </c>
      <c r="I53" s="25">
        <v>715</v>
      </c>
      <c r="J53" s="25">
        <v>365</v>
      </c>
      <c r="K53" s="26">
        <v>2252</v>
      </c>
      <c r="L53" s="24">
        <v>1635</v>
      </c>
      <c r="M53" s="25">
        <v>1265</v>
      </c>
      <c r="N53" s="25">
        <v>1461</v>
      </c>
      <c r="O53" s="26">
        <v>565</v>
      </c>
      <c r="P53" s="24">
        <v>838</v>
      </c>
      <c r="Q53" s="25">
        <v>2045</v>
      </c>
      <c r="R53" s="25">
        <v>2308</v>
      </c>
      <c r="S53" s="26">
        <v>619</v>
      </c>
      <c r="T53" s="61"/>
      <c r="U53" s="24">
        <f t="shared" si="17"/>
        <v>4123</v>
      </c>
      <c r="V53" s="25">
        <f t="shared" si="22"/>
        <v>4598</v>
      </c>
      <c r="W53" s="25">
        <f t="shared" si="18"/>
        <v>4926</v>
      </c>
      <c r="X53" s="26">
        <v>4373</v>
      </c>
    </row>
    <row r="54" spans="1:24" ht="19.649999999999999" customHeight="1">
      <c r="B54" s="3" t="s">
        <v>42</v>
      </c>
      <c r="D54" s="24">
        <v>2942</v>
      </c>
      <c r="E54" s="25">
        <v>3238</v>
      </c>
      <c r="F54" s="25">
        <v>1606</v>
      </c>
      <c r="G54" s="26">
        <v>5045</v>
      </c>
      <c r="H54" s="24">
        <v>3222</v>
      </c>
      <c r="I54" s="25">
        <v>920</v>
      </c>
      <c r="J54" s="25">
        <v>993</v>
      </c>
      <c r="K54" s="26">
        <v>2830</v>
      </c>
      <c r="L54" s="24">
        <v>3063</v>
      </c>
      <c r="M54" s="25">
        <v>1741</v>
      </c>
      <c r="N54" s="25">
        <v>747</v>
      </c>
      <c r="O54" s="26">
        <v>2768</v>
      </c>
      <c r="P54" s="24">
        <v>2668</v>
      </c>
      <c r="Q54" s="25">
        <v>959</v>
      </c>
      <c r="R54" s="25">
        <v>874</v>
      </c>
      <c r="S54" s="26">
        <v>553</v>
      </c>
      <c r="T54" s="61"/>
      <c r="U54" s="24">
        <f t="shared" si="17"/>
        <v>12831</v>
      </c>
      <c r="V54" s="25">
        <f t="shared" si="22"/>
        <v>7965</v>
      </c>
      <c r="W54" s="25">
        <f t="shared" si="18"/>
        <v>8319</v>
      </c>
      <c r="X54" s="26">
        <v>3617</v>
      </c>
    </row>
    <row r="55" spans="1:24" ht="19.649999999999999" customHeight="1">
      <c r="A55" s="29" t="s">
        <v>43</v>
      </c>
      <c r="B55" s="29"/>
      <c r="C55" s="29"/>
      <c r="D55" s="30">
        <f t="shared" ref="D55:M55" si="28">-D53+D54</f>
        <v>2140</v>
      </c>
      <c r="E55" s="31">
        <f t="shared" si="28"/>
        <v>2137</v>
      </c>
      <c r="F55" s="31">
        <f t="shared" si="28"/>
        <v>643</v>
      </c>
      <c r="G55" s="32">
        <f t="shared" si="28"/>
        <v>3788</v>
      </c>
      <c r="H55" s="30">
        <f t="shared" si="28"/>
        <v>1956</v>
      </c>
      <c r="I55" s="31">
        <f t="shared" si="28"/>
        <v>205</v>
      </c>
      <c r="J55" s="31">
        <f t="shared" si="28"/>
        <v>628</v>
      </c>
      <c r="K55" s="32">
        <f t="shared" si="28"/>
        <v>578</v>
      </c>
      <c r="L55" s="30">
        <f t="shared" si="28"/>
        <v>1428</v>
      </c>
      <c r="M55" s="31">
        <f t="shared" si="28"/>
        <v>476</v>
      </c>
      <c r="N55" s="31">
        <v>-714</v>
      </c>
      <c r="O55" s="32">
        <f t="shared" ref="O55" si="29">-O53+O54</f>
        <v>2203</v>
      </c>
      <c r="P55" s="30">
        <f>-P53+P54</f>
        <v>1830</v>
      </c>
      <c r="Q55" s="31">
        <f>-Q53+Q54</f>
        <v>-1086</v>
      </c>
      <c r="R55" s="31">
        <f>-R53+R54</f>
        <v>-1434</v>
      </c>
      <c r="S55" s="32">
        <f>-S53+S54</f>
        <v>-66</v>
      </c>
      <c r="T55" s="61"/>
      <c r="U55" s="30">
        <f t="shared" si="17"/>
        <v>8708</v>
      </c>
      <c r="V55" s="31">
        <f t="shared" si="22"/>
        <v>3367</v>
      </c>
      <c r="W55" s="31">
        <f t="shared" si="18"/>
        <v>3393</v>
      </c>
      <c r="X55" s="32">
        <f>-X53+X54</f>
        <v>-756</v>
      </c>
    </row>
    <row r="56" spans="1:24" ht="19.649999999999999" customHeight="1">
      <c r="A56" s="79" t="s">
        <v>44</v>
      </c>
      <c r="B56" s="79"/>
      <c r="C56" s="79"/>
      <c r="D56" s="24">
        <v>24</v>
      </c>
      <c r="E56" s="25">
        <v>10</v>
      </c>
      <c r="F56" s="25">
        <v>17</v>
      </c>
      <c r="G56" s="26">
        <v>151</v>
      </c>
      <c r="H56" s="24">
        <v>170</v>
      </c>
      <c r="I56" s="25">
        <v>60</v>
      </c>
      <c r="J56" s="25">
        <v>277</v>
      </c>
      <c r="K56" s="26">
        <v>-15</v>
      </c>
      <c r="L56" s="24">
        <v>-62</v>
      </c>
      <c r="M56" s="25">
        <v>164</v>
      </c>
      <c r="N56" s="25">
        <v>141</v>
      </c>
      <c r="O56" s="26">
        <v>1</v>
      </c>
      <c r="P56" s="24">
        <v>490</v>
      </c>
      <c r="Q56" s="25">
        <v>1364</v>
      </c>
      <c r="R56" s="25">
        <v>1580</v>
      </c>
      <c r="S56" s="26">
        <v>211</v>
      </c>
      <c r="T56" s="61"/>
      <c r="U56" s="24">
        <f t="shared" si="17"/>
        <v>202</v>
      </c>
      <c r="V56" s="25">
        <f t="shared" si="22"/>
        <v>492</v>
      </c>
      <c r="W56" s="25">
        <f t="shared" si="18"/>
        <v>244</v>
      </c>
      <c r="X56" s="26">
        <f t="shared" si="19"/>
        <v>3645</v>
      </c>
    </row>
    <row r="57" spans="1:24" ht="19.649999999999999" customHeight="1">
      <c r="A57" s="29" t="s">
        <v>45</v>
      </c>
      <c r="B57" s="29"/>
      <c r="C57" s="29"/>
      <c r="D57" s="30">
        <f t="shared" ref="D57:H57" si="30">D52-D55+D56</f>
        <v>16814</v>
      </c>
      <c r="E57" s="31">
        <f>E52-E55+E56</f>
        <v>958</v>
      </c>
      <c r="F57" s="31">
        <f t="shared" si="30"/>
        <v>25393</v>
      </c>
      <c r="G57" s="32">
        <f t="shared" si="30"/>
        <v>-167347</v>
      </c>
      <c r="H57" s="30">
        <f t="shared" si="30"/>
        <v>17926</v>
      </c>
      <c r="I57" s="31">
        <f>I52-I55+I56</f>
        <v>32151</v>
      </c>
      <c r="J57" s="31">
        <f t="shared" ref="J57:K57" si="31">J52-J55+J56</f>
        <v>26820</v>
      </c>
      <c r="K57" s="32">
        <f t="shared" si="31"/>
        <v>7067</v>
      </c>
      <c r="L57" s="30">
        <v>26076</v>
      </c>
      <c r="M57" s="31">
        <f t="shared" ref="M57" si="32">M52-M55+M56</f>
        <v>20770</v>
      </c>
      <c r="N57" s="31">
        <v>21622</v>
      </c>
      <c r="O57" s="32">
        <v>7423</v>
      </c>
      <c r="P57" s="30">
        <v>-22612</v>
      </c>
      <c r="Q57" s="31">
        <v>-6896</v>
      </c>
      <c r="R57" s="31">
        <v>3894</v>
      </c>
      <c r="S57" s="32">
        <v>-15414</v>
      </c>
      <c r="T57" s="61"/>
      <c r="U57" s="30">
        <f>U52-U55+U56</f>
        <v>-124182</v>
      </c>
      <c r="V57" s="31">
        <f>V52-V55+V56</f>
        <v>83964</v>
      </c>
      <c r="W57" s="31">
        <f>W52-W55+W56</f>
        <v>75891</v>
      </c>
      <c r="X57" s="32">
        <f>X52-X55+X56</f>
        <v>-41028</v>
      </c>
    </row>
    <row r="58" spans="1:24" ht="19.649999999999999" customHeight="1">
      <c r="A58" s="3" t="s">
        <v>46</v>
      </c>
      <c r="D58" s="30">
        <v>4596</v>
      </c>
      <c r="E58" s="31">
        <v>5800</v>
      </c>
      <c r="F58" s="31">
        <v>10971</v>
      </c>
      <c r="G58" s="32">
        <v>-15910</v>
      </c>
      <c r="H58" s="30">
        <v>6989</v>
      </c>
      <c r="I58" s="31">
        <v>4308</v>
      </c>
      <c r="J58" s="31">
        <v>10592</v>
      </c>
      <c r="K58" s="32">
        <v>6698</v>
      </c>
      <c r="L58" s="30">
        <v>8833</v>
      </c>
      <c r="M58" s="31">
        <v>5801</v>
      </c>
      <c r="N58" s="31">
        <v>7741</v>
      </c>
      <c r="O58" s="32">
        <v>9103</v>
      </c>
      <c r="P58" s="30">
        <v>-3949</v>
      </c>
      <c r="Q58" s="31">
        <v>-3378</v>
      </c>
      <c r="R58" s="31">
        <v>4187</v>
      </c>
      <c r="S58" s="32">
        <v>-5224</v>
      </c>
      <c r="T58" s="61"/>
      <c r="U58" s="30">
        <f>SUM(D58:G58)</f>
        <v>5457</v>
      </c>
      <c r="V58" s="31">
        <f>SUM(H58:K58)</f>
        <v>28587</v>
      </c>
      <c r="W58" s="31">
        <f t="shared" ref="W58:W60" si="33">SUM(L58:O58)</f>
        <v>31478</v>
      </c>
      <c r="X58" s="32">
        <f t="shared" ref="X58:X60" si="34">SUM(P58:S58)</f>
        <v>-8364</v>
      </c>
    </row>
    <row r="59" spans="1:24" ht="19.649999999999999" customHeight="1">
      <c r="A59" s="29" t="s">
        <v>47</v>
      </c>
      <c r="B59" s="29"/>
      <c r="C59" s="29"/>
      <c r="D59" s="30">
        <v>1422</v>
      </c>
      <c r="E59" s="31">
        <v>1427</v>
      </c>
      <c r="F59" s="31">
        <v>1614</v>
      </c>
      <c r="G59" s="32">
        <v>1270</v>
      </c>
      <c r="H59" s="30">
        <v>1655</v>
      </c>
      <c r="I59" s="31">
        <v>1080</v>
      </c>
      <c r="J59" s="31">
        <v>1640</v>
      </c>
      <c r="K59" s="32">
        <v>1476</v>
      </c>
      <c r="L59" s="30">
        <v>1619</v>
      </c>
      <c r="M59" s="31">
        <v>1335</v>
      </c>
      <c r="N59" s="31">
        <v>1670</v>
      </c>
      <c r="O59" s="32">
        <v>243</v>
      </c>
      <c r="P59" s="30">
        <v>-4</v>
      </c>
      <c r="Q59" s="31">
        <v>18</v>
      </c>
      <c r="R59" s="31">
        <v>-17</v>
      </c>
      <c r="S59" s="32">
        <v>69</v>
      </c>
      <c r="T59" s="61"/>
      <c r="U59" s="30">
        <v>5733</v>
      </c>
      <c r="V59" s="31">
        <f>SUM(H59:K59)</f>
        <v>5851</v>
      </c>
      <c r="W59" s="31">
        <f t="shared" si="33"/>
        <v>4867</v>
      </c>
      <c r="X59" s="32">
        <f t="shared" si="34"/>
        <v>66</v>
      </c>
    </row>
    <row r="60" spans="1:24" ht="19.649999999999999" customHeight="1" thickBot="1">
      <c r="A60" s="89" t="s">
        <v>48</v>
      </c>
      <c r="B60" s="89"/>
      <c r="C60" s="89"/>
      <c r="D60" s="90">
        <f>D57-D58-D59</f>
        <v>10796</v>
      </c>
      <c r="E60" s="91">
        <f>E57-E58-E59</f>
        <v>-6269</v>
      </c>
      <c r="F60" s="91">
        <f t="shared" ref="F60" si="35">F57-F58-F59</f>
        <v>12808</v>
      </c>
      <c r="G60" s="92">
        <v>-152707</v>
      </c>
      <c r="H60" s="90">
        <f>H57-H58-H59</f>
        <v>9282</v>
      </c>
      <c r="I60" s="91">
        <f>I57-I58-I59</f>
        <v>26763</v>
      </c>
      <c r="J60" s="91">
        <f t="shared" ref="J60:K60" si="36">J57-J58-J59</f>
        <v>14588</v>
      </c>
      <c r="K60" s="92">
        <f t="shared" si="36"/>
        <v>-1107</v>
      </c>
      <c r="L60" s="90">
        <v>15624</v>
      </c>
      <c r="M60" s="91">
        <f t="shared" ref="M60" si="37">M57-M58-M59</f>
        <v>13634</v>
      </c>
      <c r="N60" s="91">
        <v>12211</v>
      </c>
      <c r="O60" s="92">
        <v>-1923</v>
      </c>
      <c r="P60" s="90">
        <v>-18659</v>
      </c>
      <c r="Q60" s="91">
        <v>-3536</v>
      </c>
      <c r="R60" s="91">
        <v>-276</v>
      </c>
      <c r="S60" s="92">
        <v>-10259</v>
      </c>
      <c r="T60" s="61"/>
      <c r="U60" s="90">
        <v>-135372</v>
      </c>
      <c r="V60" s="91">
        <f>SUM(H60:K60)</f>
        <v>49526</v>
      </c>
      <c r="W60" s="91">
        <f t="shared" si="33"/>
        <v>39546</v>
      </c>
      <c r="X60" s="92">
        <f t="shared" si="34"/>
        <v>-32730</v>
      </c>
    </row>
    <row r="61" spans="1:24"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U61" s="93"/>
      <c r="V61" s="93"/>
      <c r="W61" s="93"/>
      <c r="X61" s="93"/>
    </row>
    <row r="63" spans="1:24" s="4" customFormat="1">
      <c r="A63" s="1" t="s">
        <v>49</v>
      </c>
      <c r="B63" s="1"/>
      <c r="C63" s="1"/>
    </row>
    <row r="65" spans="1:24">
      <c r="A65" s="5"/>
      <c r="B65" s="5"/>
      <c r="C65" s="5"/>
      <c r="D65" s="6"/>
      <c r="E65" s="5"/>
      <c r="F65" s="5"/>
      <c r="G65" s="7"/>
      <c r="H65" s="6"/>
      <c r="I65" s="5"/>
      <c r="J65" s="5"/>
      <c r="K65" s="7"/>
      <c r="L65" s="6"/>
      <c r="M65" s="5"/>
      <c r="N65" s="5"/>
      <c r="O65" s="5"/>
      <c r="P65" s="6"/>
      <c r="Q65" s="5"/>
      <c r="R65" s="5"/>
      <c r="S65" s="7"/>
      <c r="T65" s="204"/>
      <c r="U65" s="6"/>
      <c r="V65" s="5"/>
      <c r="W65" s="5"/>
      <c r="X65" s="7"/>
    </row>
    <row r="66" spans="1:24">
      <c r="D66" s="8" t="str">
        <f>D4</f>
        <v>FY2017</v>
      </c>
      <c r="E66" s="79"/>
      <c r="F66" s="79"/>
      <c r="G66" s="80"/>
      <c r="H66" s="8" t="str">
        <f>H4</f>
        <v>FY2018</v>
      </c>
      <c r="I66" s="79"/>
      <c r="J66" s="79"/>
      <c r="K66" s="80"/>
      <c r="L66" s="8" t="str">
        <f>L4</f>
        <v>FY2019</v>
      </c>
      <c r="M66" s="79"/>
      <c r="N66" s="79"/>
      <c r="O66" s="79"/>
      <c r="P66" s="8" t="str">
        <f>P4</f>
        <v>FY2020</v>
      </c>
      <c r="Q66" s="79"/>
      <c r="R66" s="79"/>
      <c r="S66" s="80"/>
      <c r="T66" s="204"/>
      <c r="U66" s="207" t="str">
        <f>U4</f>
        <v>FY2017</v>
      </c>
      <c r="V66" s="11" t="str">
        <f>V4</f>
        <v>FY2018</v>
      </c>
      <c r="W66" s="11" t="str">
        <f>W4</f>
        <v>FY2019</v>
      </c>
      <c r="X66" s="208" t="str">
        <f>X4</f>
        <v>FY2020</v>
      </c>
    </row>
    <row r="67" spans="1:24" ht="27.15" customHeight="1">
      <c r="A67" s="79" t="s">
        <v>50</v>
      </c>
      <c r="B67" s="79"/>
      <c r="C67" s="94"/>
      <c r="D67" s="12" t="s">
        <v>9</v>
      </c>
      <c r="E67" s="13" t="s">
        <v>10</v>
      </c>
      <c r="F67" s="13" t="str">
        <f>F5</f>
        <v>Q3</v>
      </c>
      <c r="G67" s="14" t="str">
        <f>G5</f>
        <v>Q4</v>
      </c>
      <c r="H67" s="12" t="s">
        <v>9</v>
      </c>
      <c r="I67" s="13" t="s">
        <v>10</v>
      </c>
      <c r="J67" s="13" t="str">
        <f>J5</f>
        <v>Q3</v>
      </c>
      <c r="K67" s="14" t="str">
        <f>K5</f>
        <v>Q4</v>
      </c>
      <c r="L67" s="12" t="s">
        <v>9</v>
      </c>
      <c r="M67" s="13" t="s">
        <v>10</v>
      </c>
      <c r="N67" s="13" t="s">
        <v>11</v>
      </c>
      <c r="O67" s="13" t="str">
        <f>O5</f>
        <v>Q4</v>
      </c>
      <c r="P67" s="12" t="s">
        <v>9</v>
      </c>
      <c r="Q67" s="13" t="s">
        <v>10</v>
      </c>
      <c r="R67" s="13" t="str">
        <f>R5</f>
        <v>Q3</v>
      </c>
      <c r="S67" s="14" t="str">
        <f>S5</f>
        <v>Q4</v>
      </c>
      <c r="T67" s="204"/>
      <c r="U67" s="209"/>
      <c r="V67" s="15"/>
      <c r="W67" s="15"/>
      <c r="X67" s="210"/>
    </row>
    <row r="68" spans="1:24" ht="19.649999999999999" customHeight="1">
      <c r="B68" s="3" t="s">
        <v>51</v>
      </c>
      <c r="D68" s="24">
        <v>140182</v>
      </c>
      <c r="E68" s="25">
        <v>156707</v>
      </c>
      <c r="F68" s="25">
        <v>159533</v>
      </c>
      <c r="G68" s="26">
        <v>160568</v>
      </c>
      <c r="H68" s="24">
        <v>222592</v>
      </c>
      <c r="I68" s="25">
        <v>203010</v>
      </c>
      <c r="J68" s="25">
        <v>201290</v>
      </c>
      <c r="K68" s="26">
        <v>240099</v>
      </c>
      <c r="L68" s="24">
        <v>234039</v>
      </c>
      <c r="M68" s="25">
        <v>245911</v>
      </c>
      <c r="N68" s="25">
        <v>229248</v>
      </c>
      <c r="O68" s="25">
        <v>262834</v>
      </c>
      <c r="P68" s="24">
        <v>320015</v>
      </c>
      <c r="Q68" s="25">
        <v>337040</v>
      </c>
      <c r="R68" s="25">
        <v>328562</v>
      </c>
      <c r="S68" s="26">
        <v>334810</v>
      </c>
      <c r="T68" s="61"/>
      <c r="U68" s="24">
        <f>G68</f>
        <v>160568</v>
      </c>
      <c r="V68" s="25">
        <f>K68</f>
        <v>240099</v>
      </c>
      <c r="W68" s="25">
        <f t="shared" ref="W68:W82" si="38">O68</f>
        <v>262834</v>
      </c>
      <c r="X68" s="26">
        <f t="shared" ref="X68:X82" si="39">S68</f>
        <v>334810</v>
      </c>
    </row>
    <row r="69" spans="1:24" ht="19.649999999999999" customHeight="1">
      <c r="B69" s="3" t="s">
        <v>52</v>
      </c>
      <c r="D69" s="24">
        <v>642</v>
      </c>
      <c r="E69" s="25">
        <v>70</v>
      </c>
      <c r="F69" s="25">
        <v>90</v>
      </c>
      <c r="G69" s="26">
        <v>68</v>
      </c>
      <c r="H69" s="24">
        <v>71</v>
      </c>
      <c r="I69" s="25">
        <v>92</v>
      </c>
      <c r="J69" s="25">
        <v>106</v>
      </c>
      <c r="K69" s="26">
        <v>70</v>
      </c>
      <c r="L69" s="24">
        <v>85</v>
      </c>
      <c r="M69" s="25">
        <v>53</v>
      </c>
      <c r="N69" s="25">
        <v>64</v>
      </c>
      <c r="O69" s="25">
        <v>50</v>
      </c>
      <c r="P69" s="24">
        <v>62</v>
      </c>
      <c r="Q69" s="25">
        <v>137</v>
      </c>
      <c r="R69" s="25">
        <v>146</v>
      </c>
      <c r="S69" s="26">
        <v>238</v>
      </c>
      <c r="T69" s="61"/>
      <c r="U69" s="24">
        <f t="shared" ref="U69:U82" si="40">G69</f>
        <v>68</v>
      </c>
      <c r="V69" s="25">
        <f t="shared" ref="V69:V82" si="41">K69</f>
        <v>70</v>
      </c>
      <c r="W69" s="25">
        <f t="shared" si="38"/>
        <v>50</v>
      </c>
      <c r="X69" s="26">
        <f t="shared" si="39"/>
        <v>238</v>
      </c>
    </row>
    <row r="70" spans="1:24" ht="19.649999999999999" customHeight="1">
      <c r="B70" s="3" t="s">
        <v>53</v>
      </c>
      <c r="D70" s="24">
        <v>558366</v>
      </c>
      <c r="E70" s="25">
        <v>566159</v>
      </c>
      <c r="F70" s="25">
        <v>569699</v>
      </c>
      <c r="G70" s="26">
        <v>589741</v>
      </c>
      <c r="H70" s="24">
        <v>572808</v>
      </c>
      <c r="I70" s="25">
        <v>588094</v>
      </c>
      <c r="J70" s="25">
        <v>584977</v>
      </c>
      <c r="K70" s="26">
        <v>604804</v>
      </c>
      <c r="L70" s="24">
        <v>572318</v>
      </c>
      <c r="M70" s="25">
        <v>592104</v>
      </c>
      <c r="N70" s="25">
        <v>584298</v>
      </c>
      <c r="O70" s="25">
        <v>392780</v>
      </c>
      <c r="P70" s="24">
        <v>327569</v>
      </c>
      <c r="Q70" s="25">
        <v>339685</v>
      </c>
      <c r="R70" s="25">
        <v>346396</v>
      </c>
      <c r="S70" s="26">
        <v>392132</v>
      </c>
      <c r="T70" s="61"/>
      <c r="U70" s="24">
        <f t="shared" si="40"/>
        <v>589741</v>
      </c>
      <c r="V70" s="25">
        <f t="shared" si="41"/>
        <v>604804</v>
      </c>
      <c r="W70" s="25">
        <f t="shared" si="38"/>
        <v>392780</v>
      </c>
      <c r="X70" s="26">
        <f t="shared" si="39"/>
        <v>392132</v>
      </c>
    </row>
    <row r="71" spans="1:24" ht="19.649999999999999" customHeight="1">
      <c r="B71" s="3" t="s">
        <v>54</v>
      </c>
      <c r="D71" s="24">
        <v>281311</v>
      </c>
      <c r="E71" s="25">
        <v>290271</v>
      </c>
      <c r="F71" s="25">
        <v>291664</v>
      </c>
      <c r="G71" s="26">
        <v>291144</v>
      </c>
      <c r="H71" s="24">
        <v>292507</v>
      </c>
      <c r="I71" s="25">
        <v>296607</v>
      </c>
      <c r="J71" s="25">
        <v>296458</v>
      </c>
      <c r="K71" s="26">
        <v>294351</v>
      </c>
      <c r="L71" s="24">
        <v>293357</v>
      </c>
      <c r="M71" s="25">
        <v>298289</v>
      </c>
      <c r="N71" s="25">
        <v>301447</v>
      </c>
      <c r="O71" s="25">
        <v>87226</v>
      </c>
      <c r="P71" s="24">
        <v>88272</v>
      </c>
      <c r="Q71" s="25">
        <v>90306</v>
      </c>
      <c r="R71" s="25">
        <v>90039</v>
      </c>
      <c r="S71" s="26">
        <v>92823</v>
      </c>
      <c r="T71" s="61"/>
      <c r="U71" s="24">
        <f t="shared" si="40"/>
        <v>291144</v>
      </c>
      <c r="V71" s="25">
        <f t="shared" si="41"/>
        <v>294351</v>
      </c>
      <c r="W71" s="25">
        <f t="shared" si="38"/>
        <v>87226</v>
      </c>
      <c r="X71" s="26">
        <f t="shared" si="39"/>
        <v>92823</v>
      </c>
    </row>
    <row r="72" spans="1:24" ht="19.649999999999999" customHeight="1">
      <c r="B72" s="3" t="s">
        <v>55</v>
      </c>
      <c r="D72" s="24">
        <v>213601</v>
      </c>
      <c r="E72" s="25">
        <v>213593</v>
      </c>
      <c r="F72" s="25">
        <v>209380</v>
      </c>
      <c r="G72" s="26">
        <v>180484</v>
      </c>
      <c r="H72" s="24">
        <v>195350</v>
      </c>
      <c r="I72" s="25">
        <v>207196</v>
      </c>
      <c r="J72" s="25">
        <v>218236</v>
      </c>
      <c r="K72" s="26">
        <v>207748</v>
      </c>
      <c r="L72" s="24">
        <v>219443</v>
      </c>
      <c r="M72" s="25">
        <v>215670</v>
      </c>
      <c r="N72" s="25">
        <v>238885</v>
      </c>
      <c r="O72" s="25">
        <v>201248</v>
      </c>
      <c r="P72" s="24">
        <v>212903</v>
      </c>
      <c r="Q72" s="25">
        <v>196704</v>
      </c>
      <c r="R72" s="25">
        <v>204628</v>
      </c>
      <c r="S72" s="26">
        <v>192016</v>
      </c>
      <c r="T72" s="61"/>
      <c r="U72" s="24">
        <f t="shared" si="40"/>
        <v>180484</v>
      </c>
      <c r="V72" s="25">
        <f t="shared" si="41"/>
        <v>207748</v>
      </c>
      <c r="W72" s="25">
        <f t="shared" si="38"/>
        <v>201248</v>
      </c>
      <c r="X72" s="26">
        <f t="shared" si="39"/>
        <v>192016</v>
      </c>
    </row>
    <row r="73" spans="1:24" ht="19.649999999999999" customHeight="1">
      <c r="B73" s="3" t="s">
        <v>56</v>
      </c>
      <c r="D73" s="24">
        <v>68927</v>
      </c>
      <c r="E73" s="25">
        <v>65149</v>
      </c>
      <c r="F73" s="25">
        <f>62943+15360</f>
        <v>78303</v>
      </c>
      <c r="G73" s="26">
        <f>55921+50052</f>
        <v>105973</v>
      </c>
      <c r="H73" s="24">
        <f>55080+22044</f>
        <v>77124</v>
      </c>
      <c r="I73" s="25">
        <v>58941</v>
      </c>
      <c r="J73" s="25">
        <v>41965</v>
      </c>
      <c r="K73" s="26">
        <v>40107</v>
      </c>
      <c r="L73" s="24">
        <v>48843</v>
      </c>
      <c r="M73" s="25">
        <v>46715</v>
      </c>
      <c r="N73" s="25">
        <v>43746</v>
      </c>
      <c r="O73" s="25">
        <v>36428</v>
      </c>
      <c r="P73" s="24">
        <v>40016</v>
      </c>
      <c r="Q73" s="25">
        <v>38655</v>
      </c>
      <c r="R73" s="25">
        <v>46247</v>
      </c>
      <c r="S73" s="26">
        <v>46725</v>
      </c>
      <c r="T73" s="61"/>
      <c r="U73" s="24">
        <f t="shared" si="40"/>
        <v>105973</v>
      </c>
      <c r="V73" s="25">
        <f t="shared" si="41"/>
        <v>40107</v>
      </c>
      <c r="W73" s="25">
        <f t="shared" si="38"/>
        <v>36428</v>
      </c>
      <c r="X73" s="26">
        <f t="shared" si="39"/>
        <v>46725</v>
      </c>
    </row>
    <row r="74" spans="1:24" ht="19.649999999999999" customHeight="1">
      <c r="B74" s="3" t="s">
        <v>57</v>
      </c>
      <c r="D74" s="24"/>
      <c r="E74" s="25"/>
      <c r="F74" s="25"/>
      <c r="G74" s="26"/>
      <c r="H74" s="24"/>
      <c r="I74" s="25"/>
      <c r="J74" s="25"/>
      <c r="K74" s="26">
        <v>2583</v>
      </c>
      <c r="L74" s="24"/>
      <c r="M74" s="25"/>
      <c r="N74" s="25"/>
      <c r="O74" s="25">
        <v>1125582</v>
      </c>
      <c r="P74" s="24"/>
      <c r="Q74" s="25"/>
      <c r="R74" s="25"/>
      <c r="S74" s="26"/>
      <c r="T74" s="61"/>
      <c r="U74" s="24"/>
      <c r="V74" s="25">
        <f t="shared" si="41"/>
        <v>2583</v>
      </c>
      <c r="W74" s="25">
        <f t="shared" si="38"/>
        <v>1125582</v>
      </c>
      <c r="X74" s="26">
        <f t="shared" si="39"/>
        <v>0</v>
      </c>
    </row>
    <row r="75" spans="1:24" ht="19.649999999999999" customHeight="1">
      <c r="A75" s="29"/>
      <c r="B75" s="29"/>
      <c r="C75" s="29" t="s">
        <v>58</v>
      </c>
      <c r="D75" s="30">
        <f t="shared" ref="D75:I75" si="42">SUM(D68:D73)</f>
        <v>1263029</v>
      </c>
      <c r="E75" s="31">
        <f t="shared" si="42"/>
        <v>1291949</v>
      </c>
      <c r="F75" s="31">
        <f>SUM(F68:F73)</f>
        <v>1308669</v>
      </c>
      <c r="G75" s="32">
        <f t="shared" si="42"/>
        <v>1327978</v>
      </c>
      <c r="H75" s="30">
        <f t="shared" si="42"/>
        <v>1360452</v>
      </c>
      <c r="I75" s="31">
        <f t="shared" si="42"/>
        <v>1353940</v>
      </c>
      <c r="J75" s="31">
        <f>SUM(J68:J73)</f>
        <v>1343032</v>
      </c>
      <c r="K75" s="32">
        <f>SUM(K68:K74)</f>
        <v>1389762</v>
      </c>
      <c r="L75" s="30">
        <f t="shared" ref="L75:N75" si="43">SUM(L68:L74)</f>
        <v>1368085</v>
      </c>
      <c r="M75" s="31">
        <f t="shared" si="43"/>
        <v>1398742</v>
      </c>
      <c r="N75" s="31">
        <f t="shared" si="43"/>
        <v>1397688</v>
      </c>
      <c r="O75" s="31">
        <f>SUM(O68:O74)</f>
        <v>2106148</v>
      </c>
      <c r="P75" s="30">
        <f t="shared" ref="P75" si="44">SUM(P68:P74)</f>
        <v>988837</v>
      </c>
      <c r="Q75" s="31">
        <v>1002527</v>
      </c>
      <c r="R75" s="31">
        <v>1016018</v>
      </c>
      <c r="S75" s="32">
        <v>1058744</v>
      </c>
      <c r="T75" s="61"/>
      <c r="U75" s="30">
        <f t="shared" si="40"/>
        <v>1327978</v>
      </c>
      <c r="V75" s="31">
        <f t="shared" si="41"/>
        <v>1389762</v>
      </c>
      <c r="W75" s="31">
        <f t="shared" si="38"/>
        <v>2106148</v>
      </c>
      <c r="X75" s="32">
        <f t="shared" si="39"/>
        <v>1058744</v>
      </c>
    </row>
    <row r="76" spans="1:24" ht="19.649999999999999" customHeight="1">
      <c r="B76" s="3" t="s">
        <v>59</v>
      </c>
      <c r="D76" s="24">
        <v>264442</v>
      </c>
      <c r="E76" s="25">
        <v>265070</v>
      </c>
      <c r="F76" s="25">
        <v>260409</v>
      </c>
      <c r="G76" s="26">
        <v>250005</v>
      </c>
      <c r="H76" s="24">
        <v>240087</v>
      </c>
      <c r="I76" s="25">
        <v>245928</v>
      </c>
      <c r="J76" s="25">
        <v>245073</v>
      </c>
      <c r="K76" s="26">
        <v>250287</v>
      </c>
      <c r="L76" s="24">
        <v>242603</v>
      </c>
      <c r="M76" s="25">
        <v>254873</v>
      </c>
      <c r="N76" s="25">
        <v>259519</v>
      </c>
      <c r="O76" s="25">
        <v>201569</v>
      </c>
      <c r="P76" s="24">
        <v>204074</v>
      </c>
      <c r="Q76" s="25">
        <v>201585</v>
      </c>
      <c r="R76" s="25">
        <v>194473</v>
      </c>
      <c r="S76" s="26">
        <v>191963</v>
      </c>
      <c r="T76" s="61"/>
      <c r="U76" s="24">
        <f t="shared" si="40"/>
        <v>250005</v>
      </c>
      <c r="V76" s="25">
        <f t="shared" si="41"/>
        <v>250287</v>
      </c>
      <c r="W76" s="25">
        <f t="shared" si="38"/>
        <v>201569</v>
      </c>
      <c r="X76" s="26">
        <f t="shared" si="39"/>
        <v>191963</v>
      </c>
    </row>
    <row r="77" spans="1:24" ht="19.649999999999999" customHeight="1">
      <c r="B77" s="3" t="s">
        <v>60</v>
      </c>
      <c r="D77" s="24"/>
      <c r="E77" s="25"/>
      <c r="F77" s="25"/>
      <c r="G77" s="26"/>
      <c r="H77" s="24"/>
      <c r="I77" s="25"/>
      <c r="J77" s="25"/>
      <c r="K77" s="26"/>
      <c r="L77" s="24">
        <v>73717</v>
      </c>
      <c r="M77" s="25">
        <v>69839</v>
      </c>
      <c r="N77" s="25">
        <v>65152</v>
      </c>
      <c r="O77" s="25">
        <v>59425</v>
      </c>
      <c r="P77" s="24">
        <v>64825</v>
      </c>
      <c r="Q77" s="25">
        <v>62437</v>
      </c>
      <c r="R77" s="25">
        <v>66258</v>
      </c>
      <c r="S77" s="26">
        <v>63653</v>
      </c>
      <c r="T77" s="61"/>
      <c r="U77" s="24"/>
      <c r="V77" s="25"/>
      <c r="W77" s="25">
        <f t="shared" si="38"/>
        <v>59425</v>
      </c>
      <c r="X77" s="26">
        <f t="shared" si="39"/>
        <v>63653</v>
      </c>
    </row>
    <row r="78" spans="1:24" ht="19.649999999999999" customHeight="1">
      <c r="B78" s="3" t="s">
        <v>61</v>
      </c>
      <c r="D78" s="24">
        <v>389076</v>
      </c>
      <c r="E78" s="25">
        <v>391130</v>
      </c>
      <c r="F78" s="25">
        <v>389736</v>
      </c>
      <c r="G78" s="26">
        <v>217130</v>
      </c>
      <c r="H78" s="24">
        <v>214336</v>
      </c>
      <c r="I78" s="25">
        <v>217594</v>
      </c>
      <c r="J78" s="25">
        <v>217912</v>
      </c>
      <c r="K78" s="26">
        <v>219806</v>
      </c>
      <c r="L78" s="24">
        <v>216672</v>
      </c>
      <c r="M78" s="25">
        <v>231844</v>
      </c>
      <c r="N78" s="25">
        <v>234423</v>
      </c>
      <c r="O78" s="25">
        <v>231898</v>
      </c>
      <c r="P78" s="24">
        <v>231535</v>
      </c>
      <c r="Q78" s="25">
        <v>235689</v>
      </c>
      <c r="R78" s="25">
        <v>231503</v>
      </c>
      <c r="S78" s="26">
        <v>225510</v>
      </c>
      <c r="T78" s="61"/>
      <c r="U78" s="24">
        <f>G78</f>
        <v>217130</v>
      </c>
      <c r="V78" s="25">
        <f>K78</f>
        <v>219806</v>
      </c>
      <c r="W78" s="25">
        <f t="shared" si="38"/>
        <v>231898</v>
      </c>
      <c r="X78" s="26">
        <f t="shared" si="39"/>
        <v>225510</v>
      </c>
    </row>
    <row r="79" spans="1:24" ht="19.649999999999999" customHeight="1">
      <c r="B79" s="3" t="s">
        <v>54</v>
      </c>
      <c r="D79" s="24">
        <v>665812</v>
      </c>
      <c r="E79" s="25">
        <v>670779</v>
      </c>
      <c r="F79" s="25">
        <v>674527</v>
      </c>
      <c r="G79" s="26">
        <v>689629</v>
      </c>
      <c r="H79" s="24">
        <v>689605</v>
      </c>
      <c r="I79" s="25">
        <v>697386</v>
      </c>
      <c r="J79" s="25">
        <v>687967</v>
      </c>
      <c r="K79" s="26">
        <v>708295</v>
      </c>
      <c r="L79" s="24">
        <v>709283</v>
      </c>
      <c r="M79" s="25">
        <v>727488</v>
      </c>
      <c r="N79" s="25">
        <v>743969</v>
      </c>
      <c r="O79" s="25">
        <v>139181</v>
      </c>
      <c r="P79" s="24">
        <v>134734</v>
      </c>
      <c r="Q79" s="25">
        <v>132772</v>
      </c>
      <c r="R79" s="25">
        <v>131927</v>
      </c>
      <c r="S79" s="26">
        <v>136093</v>
      </c>
      <c r="T79" s="61"/>
      <c r="U79" s="24">
        <f t="shared" si="40"/>
        <v>689629</v>
      </c>
      <c r="V79" s="25">
        <f t="shared" si="41"/>
        <v>708295</v>
      </c>
      <c r="W79" s="25">
        <f t="shared" si="38"/>
        <v>139181</v>
      </c>
      <c r="X79" s="26">
        <f t="shared" si="39"/>
        <v>136093</v>
      </c>
    </row>
    <row r="80" spans="1:24" ht="19.649999999999999" customHeight="1">
      <c r="B80" s="3" t="s">
        <v>62</v>
      </c>
      <c r="D80" s="24">
        <v>198478</v>
      </c>
      <c r="E80" s="25">
        <v>207095</v>
      </c>
      <c r="F80" s="25">
        <v>212040</v>
      </c>
      <c r="G80" s="26">
        <f>3703+26985+36806+88794</f>
        <v>156288</v>
      </c>
      <c r="H80" s="24">
        <f>3756+29123+43820+90135</f>
        <v>166834</v>
      </c>
      <c r="I80" s="25">
        <f>12349+28457+47608+96365</f>
        <v>184779</v>
      </c>
      <c r="J80" s="25">
        <f>12625+25116+40582+89725</f>
        <v>168048</v>
      </c>
      <c r="K80" s="26">
        <v>156982</v>
      </c>
      <c r="L80" s="24">
        <v>167301</v>
      </c>
      <c r="M80" s="25">
        <v>169205</v>
      </c>
      <c r="N80" s="25">
        <v>172595</v>
      </c>
      <c r="O80" s="25">
        <v>129424</v>
      </c>
      <c r="P80" s="24">
        <v>197864</v>
      </c>
      <c r="Q80" s="25">
        <v>202539</v>
      </c>
      <c r="R80" s="25">
        <v>206710</v>
      </c>
      <c r="S80" s="26">
        <v>211905</v>
      </c>
      <c r="T80" s="61"/>
      <c r="U80" s="24">
        <f t="shared" si="40"/>
        <v>156288</v>
      </c>
      <c r="V80" s="25">
        <f t="shared" si="41"/>
        <v>156982</v>
      </c>
      <c r="W80" s="25">
        <f t="shared" si="38"/>
        <v>129424</v>
      </c>
      <c r="X80" s="26">
        <f t="shared" si="39"/>
        <v>211905</v>
      </c>
    </row>
    <row r="81" spans="1:24" ht="19.649999999999999" customHeight="1">
      <c r="A81" s="29"/>
      <c r="B81" s="29"/>
      <c r="C81" s="29" t="s">
        <v>63</v>
      </c>
      <c r="D81" s="30">
        <f t="shared" ref="D81:L81" si="45">SUM(D76:D80)</f>
        <v>1517808</v>
      </c>
      <c r="E81" s="31">
        <f t="shared" si="45"/>
        <v>1534074</v>
      </c>
      <c r="F81" s="31">
        <f t="shared" si="45"/>
        <v>1536712</v>
      </c>
      <c r="G81" s="32">
        <f t="shared" si="45"/>
        <v>1313052</v>
      </c>
      <c r="H81" s="30">
        <f t="shared" si="45"/>
        <v>1310862</v>
      </c>
      <c r="I81" s="31">
        <f t="shared" si="45"/>
        <v>1345687</v>
      </c>
      <c r="J81" s="31">
        <f t="shared" si="45"/>
        <v>1319000</v>
      </c>
      <c r="K81" s="32">
        <f t="shared" si="45"/>
        <v>1335370</v>
      </c>
      <c r="L81" s="30">
        <f t="shared" si="45"/>
        <v>1409576</v>
      </c>
      <c r="M81" s="31">
        <f t="shared" ref="M81" si="46">SUM(M76:M80)</f>
        <v>1453249</v>
      </c>
      <c r="N81" s="31">
        <v>1475658</v>
      </c>
      <c r="O81" s="31">
        <f t="shared" ref="O81:P81" si="47">SUM(O76:O80)</f>
        <v>761497</v>
      </c>
      <c r="P81" s="30">
        <f t="shared" si="47"/>
        <v>833032</v>
      </c>
      <c r="Q81" s="31">
        <v>835022</v>
      </c>
      <c r="R81" s="31">
        <v>830871</v>
      </c>
      <c r="S81" s="32">
        <v>829124</v>
      </c>
      <c r="T81" s="61"/>
      <c r="U81" s="30">
        <f t="shared" si="40"/>
        <v>1313052</v>
      </c>
      <c r="V81" s="31">
        <f t="shared" si="41"/>
        <v>1335370</v>
      </c>
      <c r="W81" s="31">
        <f t="shared" si="38"/>
        <v>761497</v>
      </c>
      <c r="X81" s="32">
        <f t="shared" si="39"/>
        <v>829124</v>
      </c>
    </row>
    <row r="82" spans="1:24" ht="19.649999999999999" customHeight="1" thickBot="1">
      <c r="A82" s="89"/>
      <c r="B82" s="89"/>
      <c r="C82" s="89" t="s">
        <v>64</v>
      </c>
      <c r="D82" s="90">
        <f t="shared" ref="D82:L82" si="48">SUM(D75,D81)</f>
        <v>2780837</v>
      </c>
      <c r="E82" s="91">
        <f t="shared" si="48"/>
        <v>2826023</v>
      </c>
      <c r="F82" s="91">
        <f t="shared" si="48"/>
        <v>2845381</v>
      </c>
      <c r="G82" s="92">
        <f t="shared" si="48"/>
        <v>2641030</v>
      </c>
      <c r="H82" s="90">
        <f t="shared" si="48"/>
        <v>2671314</v>
      </c>
      <c r="I82" s="91">
        <f t="shared" si="48"/>
        <v>2699627</v>
      </c>
      <c r="J82" s="91">
        <f t="shared" si="48"/>
        <v>2662032</v>
      </c>
      <c r="K82" s="92">
        <f t="shared" si="48"/>
        <v>2725132</v>
      </c>
      <c r="L82" s="90">
        <f t="shared" si="48"/>
        <v>2777661</v>
      </c>
      <c r="M82" s="91">
        <f t="shared" ref="M82" si="49">SUM(M75,M81)</f>
        <v>2851991</v>
      </c>
      <c r="N82" s="91">
        <v>2873346</v>
      </c>
      <c r="O82" s="91">
        <f t="shared" ref="O82:P82" si="50">SUM(O75,O81)</f>
        <v>2867645</v>
      </c>
      <c r="P82" s="90">
        <f t="shared" si="50"/>
        <v>1821869</v>
      </c>
      <c r="Q82" s="91">
        <v>1837549</v>
      </c>
      <c r="R82" s="91">
        <v>1846889</v>
      </c>
      <c r="S82" s="92">
        <v>1887868</v>
      </c>
      <c r="T82" s="61"/>
      <c r="U82" s="90">
        <f t="shared" si="40"/>
        <v>2641030</v>
      </c>
      <c r="V82" s="91">
        <f t="shared" si="41"/>
        <v>2725132</v>
      </c>
      <c r="W82" s="91">
        <f t="shared" si="38"/>
        <v>2867645</v>
      </c>
      <c r="X82" s="92">
        <f t="shared" si="39"/>
        <v>1887868</v>
      </c>
    </row>
    <row r="83" spans="1:24" ht="19.649999999999999" customHeight="1">
      <c r="D83" s="25"/>
      <c r="E83" s="25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27"/>
      <c r="U83" s="57"/>
      <c r="V83" s="57"/>
      <c r="W83" s="57"/>
      <c r="X83" s="57"/>
    </row>
    <row r="84" spans="1:24" ht="27.15" customHeight="1">
      <c r="A84" s="79" t="s">
        <v>65</v>
      </c>
      <c r="B84" s="79"/>
      <c r="C84" s="79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27"/>
      <c r="P84" s="96"/>
      <c r="Q84" s="96"/>
      <c r="R84" s="96"/>
      <c r="S84" s="96"/>
      <c r="T84" s="27"/>
      <c r="U84" s="96"/>
      <c r="V84" s="96"/>
      <c r="W84" s="27"/>
      <c r="X84" s="27"/>
    </row>
    <row r="85" spans="1:24" ht="19.649999999999999" customHeight="1">
      <c r="B85" s="3" t="s">
        <v>66</v>
      </c>
      <c r="D85" s="24">
        <v>223723</v>
      </c>
      <c r="E85" s="25">
        <v>234763</v>
      </c>
      <c r="F85" s="25">
        <v>209760</v>
      </c>
      <c r="G85" s="26">
        <v>223194</v>
      </c>
      <c r="H85" s="24">
        <v>272604</v>
      </c>
      <c r="I85" s="25">
        <v>270008</v>
      </c>
      <c r="J85" s="25">
        <v>303241</v>
      </c>
      <c r="K85" s="26">
        <v>266957</v>
      </c>
      <c r="L85" s="24">
        <v>238141</v>
      </c>
      <c r="M85" s="25">
        <v>286054</v>
      </c>
      <c r="N85" s="25">
        <v>260183</v>
      </c>
      <c r="O85" s="37">
        <v>51492</v>
      </c>
      <c r="P85" s="24">
        <v>43479</v>
      </c>
      <c r="Q85" s="25">
        <v>94217</v>
      </c>
      <c r="R85" s="25">
        <v>73569</v>
      </c>
      <c r="S85" s="26">
        <v>82731</v>
      </c>
      <c r="T85" s="61"/>
      <c r="U85" s="36">
        <f t="shared" ref="U85:U104" si="51">G85</f>
        <v>223194</v>
      </c>
      <c r="V85" s="37">
        <f t="shared" ref="V85:V104" si="52">K85</f>
        <v>266957</v>
      </c>
      <c r="W85" s="37">
        <f t="shared" ref="W85:W104" si="53">O85</f>
        <v>51492</v>
      </c>
      <c r="X85" s="38">
        <f t="shared" ref="X85:X104" si="54">S85</f>
        <v>82731</v>
      </c>
    </row>
    <row r="86" spans="1:24" ht="19.649999999999999" customHeight="1">
      <c r="B86" s="3" t="s">
        <v>67</v>
      </c>
      <c r="D86" s="24">
        <v>278223</v>
      </c>
      <c r="E86" s="25">
        <v>271365</v>
      </c>
      <c r="F86" s="25">
        <v>270679</v>
      </c>
      <c r="G86" s="26">
        <v>300724</v>
      </c>
      <c r="H86" s="24">
        <v>288745</v>
      </c>
      <c r="I86" s="25">
        <v>291932</v>
      </c>
      <c r="J86" s="25">
        <v>283237</v>
      </c>
      <c r="K86" s="26">
        <v>306189</v>
      </c>
      <c r="L86" s="24">
        <v>277090</v>
      </c>
      <c r="M86" s="25">
        <v>299405</v>
      </c>
      <c r="N86" s="25">
        <v>291426</v>
      </c>
      <c r="O86" s="25">
        <v>246055</v>
      </c>
      <c r="P86" s="24">
        <v>238744</v>
      </c>
      <c r="Q86" s="25">
        <v>227326</v>
      </c>
      <c r="R86" s="25">
        <v>256091</v>
      </c>
      <c r="S86" s="26">
        <v>287160</v>
      </c>
      <c r="T86" s="61"/>
      <c r="U86" s="24">
        <f t="shared" si="51"/>
        <v>300724</v>
      </c>
      <c r="V86" s="25">
        <f t="shared" si="52"/>
        <v>306189</v>
      </c>
      <c r="W86" s="25">
        <f t="shared" si="53"/>
        <v>246055</v>
      </c>
      <c r="X86" s="26">
        <f t="shared" si="54"/>
        <v>287160</v>
      </c>
    </row>
    <row r="87" spans="1:24" ht="19.649999999999999" customHeight="1">
      <c r="B87" s="3" t="s">
        <v>68</v>
      </c>
      <c r="D87" s="24"/>
      <c r="E87" s="25"/>
      <c r="F87" s="25"/>
      <c r="G87" s="26"/>
      <c r="H87" s="24"/>
      <c r="I87" s="25"/>
      <c r="J87" s="25"/>
      <c r="K87" s="26"/>
      <c r="L87" s="24">
        <v>29094</v>
      </c>
      <c r="M87" s="25">
        <v>29897</v>
      </c>
      <c r="N87" s="25">
        <v>31142</v>
      </c>
      <c r="O87" s="25">
        <v>27230</v>
      </c>
      <c r="P87" s="24">
        <v>28817</v>
      </c>
      <c r="Q87" s="25">
        <v>26388</v>
      </c>
      <c r="R87" s="25">
        <v>25673</v>
      </c>
      <c r="S87" s="26">
        <v>25475</v>
      </c>
      <c r="T87" s="61"/>
      <c r="U87" s="24"/>
      <c r="V87" s="25"/>
      <c r="W87" s="25">
        <f t="shared" si="53"/>
        <v>27230</v>
      </c>
      <c r="X87" s="26">
        <f t="shared" si="54"/>
        <v>25475</v>
      </c>
    </row>
    <row r="88" spans="1:24" ht="19.649999999999999" customHeight="1">
      <c r="B88" s="3" t="s">
        <v>69</v>
      </c>
      <c r="D88" s="24">
        <v>276169</v>
      </c>
      <c r="E88" s="25">
        <v>274168</v>
      </c>
      <c r="F88" s="25">
        <f>258317+7754</f>
        <v>266071</v>
      </c>
      <c r="G88" s="26">
        <f>453+17871+12235+234045</f>
        <v>264604</v>
      </c>
      <c r="H88" s="24">
        <f>485+17032+13979+239876+14132</f>
        <v>285504</v>
      </c>
      <c r="I88" s="25">
        <f>562+15428+16238+239872</f>
        <v>272100</v>
      </c>
      <c r="J88" s="25">
        <f>419+11155+15170+227512</f>
        <v>254256</v>
      </c>
      <c r="K88" s="26">
        <f>521+15455+12277+242799</f>
        <v>271052</v>
      </c>
      <c r="L88" s="24">
        <v>272238</v>
      </c>
      <c r="M88" s="25">
        <v>263752</v>
      </c>
      <c r="N88" s="25">
        <v>260679</v>
      </c>
      <c r="O88" s="25">
        <v>255050</v>
      </c>
      <c r="P88" s="24">
        <v>246403</v>
      </c>
      <c r="Q88" s="25">
        <v>234930</v>
      </c>
      <c r="R88" s="25">
        <v>233412</v>
      </c>
      <c r="S88" s="26">
        <v>262150</v>
      </c>
      <c r="T88" s="61"/>
      <c r="U88" s="24">
        <f t="shared" si="51"/>
        <v>264604</v>
      </c>
      <c r="V88" s="25">
        <f t="shared" si="52"/>
        <v>271052</v>
      </c>
      <c r="W88" s="25">
        <f t="shared" si="53"/>
        <v>255050</v>
      </c>
      <c r="X88" s="26">
        <f t="shared" si="54"/>
        <v>262150</v>
      </c>
    </row>
    <row r="89" spans="1:24" ht="19.649999999999999" customHeight="1">
      <c r="B89" s="3" t="s">
        <v>70</v>
      </c>
      <c r="D89" s="24"/>
      <c r="E89" s="25"/>
      <c r="F89" s="25"/>
      <c r="G89" s="26"/>
      <c r="H89" s="24"/>
      <c r="I89" s="25"/>
      <c r="J89" s="25"/>
      <c r="K89" s="26"/>
      <c r="L89" s="24"/>
      <c r="M89" s="25"/>
      <c r="N89" s="25"/>
      <c r="O89" s="25">
        <v>969069</v>
      </c>
      <c r="P89" s="24"/>
      <c r="Q89" s="25"/>
      <c r="R89" s="25"/>
      <c r="S89" s="26"/>
      <c r="T89" s="61"/>
      <c r="U89" s="24"/>
      <c r="V89" s="25"/>
      <c r="W89" s="25">
        <f t="shared" si="53"/>
        <v>969069</v>
      </c>
      <c r="X89" s="26">
        <f t="shared" si="54"/>
        <v>0</v>
      </c>
    </row>
    <row r="90" spans="1:24" ht="19.649999999999999" customHeight="1">
      <c r="A90" s="29"/>
      <c r="B90" s="29"/>
      <c r="C90" s="29" t="s">
        <v>71</v>
      </c>
      <c r="D90" s="30">
        <f t="shared" ref="D90:G90" si="55">SUM(D85:D88)</f>
        <v>778115</v>
      </c>
      <c r="E90" s="31">
        <f t="shared" si="55"/>
        <v>780296</v>
      </c>
      <c r="F90" s="31">
        <f t="shared" si="55"/>
        <v>746510</v>
      </c>
      <c r="G90" s="32">
        <f t="shared" si="55"/>
        <v>788522</v>
      </c>
      <c r="H90" s="30">
        <f t="shared" ref="H90:M90" si="56">SUM(H85:H88)</f>
        <v>846853</v>
      </c>
      <c r="I90" s="31">
        <f t="shared" si="56"/>
        <v>834040</v>
      </c>
      <c r="J90" s="31">
        <f t="shared" si="56"/>
        <v>840734</v>
      </c>
      <c r="K90" s="32">
        <f t="shared" si="56"/>
        <v>844198</v>
      </c>
      <c r="L90" s="30">
        <f t="shared" si="56"/>
        <v>816563</v>
      </c>
      <c r="M90" s="31">
        <f t="shared" si="56"/>
        <v>879108</v>
      </c>
      <c r="N90" s="31">
        <v>843430</v>
      </c>
      <c r="O90" s="31">
        <f>SUM(O85:O89)</f>
        <v>1548896</v>
      </c>
      <c r="P90" s="30">
        <f t="shared" ref="P90" si="57">SUM(P85:P89)</f>
        <v>557443</v>
      </c>
      <c r="Q90" s="31">
        <v>582861</v>
      </c>
      <c r="R90" s="31">
        <v>588745</v>
      </c>
      <c r="S90" s="32">
        <v>657516</v>
      </c>
      <c r="T90" s="61"/>
      <c r="U90" s="30">
        <f t="shared" si="51"/>
        <v>788522</v>
      </c>
      <c r="V90" s="31">
        <f t="shared" si="52"/>
        <v>844198</v>
      </c>
      <c r="W90" s="31">
        <f t="shared" si="53"/>
        <v>1548896</v>
      </c>
      <c r="X90" s="32">
        <f t="shared" si="54"/>
        <v>657516</v>
      </c>
    </row>
    <row r="91" spans="1:24" ht="19.649999999999999" customHeight="1">
      <c r="B91" s="3" t="s">
        <v>66</v>
      </c>
      <c r="D91" s="24">
        <v>653328</v>
      </c>
      <c r="E91" s="25">
        <v>678088</v>
      </c>
      <c r="F91" s="25">
        <v>702524</v>
      </c>
      <c r="G91" s="26">
        <v>658707</v>
      </c>
      <c r="H91" s="24">
        <v>628866</v>
      </c>
      <c r="I91" s="25">
        <v>619331</v>
      </c>
      <c r="J91" s="25">
        <v>598759</v>
      </c>
      <c r="K91" s="26">
        <v>666462</v>
      </c>
      <c r="L91" s="24">
        <v>720922</v>
      </c>
      <c r="M91" s="25">
        <v>736206</v>
      </c>
      <c r="N91" s="25">
        <v>773899</v>
      </c>
      <c r="O91" s="25">
        <v>128172</v>
      </c>
      <c r="P91" s="24">
        <v>173832</v>
      </c>
      <c r="Q91" s="25">
        <v>168306</v>
      </c>
      <c r="R91" s="25">
        <v>168712</v>
      </c>
      <c r="S91" s="26">
        <v>139676</v>
      </c>
      <c r="T91" s="61"/>
      <c r="U91" s="24">
        <f t="shared" si="51"/>
        <v>658707</v>
      </c>
      <c r="V91" s="25">
        <f t="shared" si="52"/>
        <v>666462</v>
      </c>
      <c r="W91" s="25">
        <f t="shared" si="53"/>
        <v>128172</v>
      </c>
      <c r="X91" s="26">
        <f t="shared" si="54"/>
        <v>139676</v>
      </c>
    </row>
    <row r="92" spans="1:24" ht="19.649999999999999" customHeight="1">
      <c r="B92" s="3" t="s">
        <v>68</v>
      </c>
      <c r="D92" s="24"/>
      <c r="E92" s="25"/>
      <c r="F92" s="25"/>
      <c r="G92" s="26"/>
      <c r="H92" s="24"/>
      <c r="I92" s="25"/>
      <c r="J92" s="25"/>
      <c r="K92" s="26"/>
      <c r="L92" s="24">
        <v>47194</v>
      </c>
      <c r="M92" s="25">
        <v>45465</v>
      </c>
      <c r="N92" s="25">
        <v>39742</v>
      </c>
      <c r="O92" s="25">
        <v>38741</v>
      </c>
      <c r="P92" s="24">
        <v>44954</v>
      </c>
      <c r="Q92" s="25">
        <v>44734</v>
      </c>
      <c r="R92" s="25">
        <v>49126</v>
      </c>
      <c r="S92" s="26">
        <v>46737</v>
      </c>
      <c r="T92" s="61"/>
      <c r="U92" s="24"/>
      <c r="V92" s="25"/>
      <c r="W92" s="25">
        <f t="shared" si="53"/>
        <v>38741</v>
      </c>
      <c r="X92" s="26">
        <f t="shared" si="54"/>
        <v>46737</v>
      </c>
    </row>
    <row r="93" spans="1:24" ht="19.649999999999999" customHeight="1">
      <c r="B93" s="3" t="s">
        <v>72</v>
      </c>
      <c r="D93" s="24">
        <v>121176</v>
      </c>
      <c r="E93" s="25">
        <v>118530</v>
      </c>
      <c r="F93" s="25">
        <v>118205</v>
      </c>
      <c r="G93" s="26">
        <v>104998</v>
      </c>
      <c r="H93" s="24">
        <v>102430</v>
      </c>
      <c r="I93" s="25">
        <v>100612</v>
      </c>
      <c r="J93" s="25">
        <v>98746</v>
      </c>
      <c r="K93" s="26">
        <v>105288</v>
      </c>
      <c r="L93" s="24">
        <v>103327</v>
      </c>
      <c r="M93" s="25">
        <v>99827</v>
      </c>
      <c r="N93" s="25">
        <v>103356</v>
      </c>
      <c r="O93" s="25">
        <v>99795</v>
      </c>
      <c r="P93" s="24">
        <v>97991</v>
      </c>
      <c r="Q93" s="25">
        <v>96503</v>
      </c>
      <c r="R93" s="25">
        <v>94751</v>
      </c>
      <c r="S93" s="26">
        <v>70463</v>
      </c>
      <c r="T93" s="61"/>
      <c r="U93" s="24">
        <f t="shared" si="51"/>
        <v>104998</v>
      </c>
      <c r="V93" s="25">
        <f t="shared" si="52"/>
        <v>105288</v>
      </c>
      <c r="W93" s="25">
        <f t="shared" si="53"/>
        <v>99795</v>
      </c>
      <c r="X93" s="26">
        <f t="shared" si="54"/>
        <v>70463</v>
      </c>
    </row>
    <row r="94" spans="1:24" ht="19.649999999999999" customHeight="1">
      <c r="A94" s="79"/>
      <c r="B94" s="79" t="s">
        <v>73</v>
      </c>
      <c r="C94" s="79"/>
      <c r="D94" s="24">
        <v>94021</v>
      </c>
      <c r="E94" s="25">
        <v>98667</v>
      </c>
      <c r="F94" s="25">
        <v>109290</v>
      </c>
      <c r="G94" s="26">
        <f>3788+12709+80174+3377</f>
        <v>100048</v>
      </c>
      <c r="H94" s="24">
        <f>2790+7003+79614+7253</f>
        <v>96660</v>
      </c>
      <c r="I94" s="25">
        <f>2982+7047+83247+5180</f>
        <v>98456</v>
      </c>
      <c r="J94" s="25">
        <f>4452+6740+78705+4991</f>
        <v>94888</v>
      </c>
      <c r="K94" s="26">
        <f>3420+6610+77619+2547</f>
        <v>90196</v>
      </c>
      <c r="L94" s="24">
        <v>82903</v>
      </c>
      <c r="M94" s="25">
        <v>80451</v>
      </c>
      <c r="N94" s="25">
        <v>80814</v>
      </c>
      <c r="O94" s="25">
        <v>43514</v>
      </c>
      <c r="P94" s="24">
        <v>47634</v>
      </c>
      <c r="Q94" s="25">
        <v>45678</v>
      </c>
      <c r="R94" s="25">
        <v>44160</v>
      </c>
      <c r="S94" s="26">
        <v>49624</v>
      </c>
      <c r="T94" s="61"/>
      <c r="U94" s="24">
        <f t="shared" si="51"/>
        <v>100048</v>
      </c>
      <c r="V94" s="25">
        <f t="shared" si="52"/>
        <v>90196</v>
      </c>
      <c r="W94" s="25">
        <f t="shared" si="53"/>
        <v>43514</v>
      </c>
      <c r="X94" s="26">
        <f t="shared" si="54"/>
        <v>49624</v>
      </c>
    </row>
    <row r="95" spans="1:24" ht="19.649999999999999" customHeight="1">
      <c r="A95" s="29"/>
      <c r="B95" s="29"/>
      <c r="C95" s="29" t="s">
        <v>74</v>
      </c>
      <c r="D95" s="30">
        <f t="shared" ref="D95:G95" si="58">SUM(D91:D94)</f>
        <v>868525</v>
      </c>
      <c r="E95" s="31">
        <f t="shared" si="58"/>
        <v>895285</v>
      </c>
      <c r="F95" s="31">
        <f t="shared" si="58"/>
        <v>930019</v>
      </c>
      <c r="G95" s="32">
        <f t="shared" si="58"/>
        <v>863753</v>
      </c>
      <c r="H95" s="30">
        <f t="shared" ref="H95:M95" si="59">SUM(H91:H94)</f>
        <v>827956</v>
      </c>
      <c r="I95" s="31">
        <f t="shared" si="59"/>
        <v>818399</v>
      </c>
      <c r="J95" s="31">
        <f t="shared" si="59"/>
        <v>792393</v>
      </c>
      <c r="K95" s="32">
        <f t="shared" si="59"/>
        <v>861946</v>
      </c>
      <c r="L95" s="30">
        <f t="shared" si="59"/>
        <v>954346</v>
      </c>
      <c r="M95" s="31">
        <f t="shared" si="59"/>
        <v>961949</v>
      </c>
      <c r="N95" s="31">
        <v>997811</v>
      </c>
      <c r="O95" s="31">
        <f t="shared" ref="O95:P95" si="60">SUM(O91:O94)</f>
        <v>310222</v>
      </c>
      <c r="P95" s="30">
        <f t="shared" si="60"/>
        <v>364411</v>
      </c>
      <c r="Q95" s="31">
        <v>355221</v>
      </c>
      <c r="R95" s="31">
        <v>356749</v>
      </c>
      <c r="S95" s="32">
        <v>306500</v>
      </c>
      <c r="T95" s="61"/>
      <c r="U95" s="30">
        <f t="shared" si="51"/>
        <v>863753</v>
      </c>
      <c r="V95" s="31">
        <f t="shared" si="52"/>
        <v>861946</v>
      </c>
      <c r="W95" s="31">
        <f t="shared" si="53"/>
        <v>310222</v>
      </c>
      <c r="X95" s="32">
        <f t="shared" si="54"/>
        <v>306500</v>
      </c>
    </row>
    <row r="96" spans="1:24" ht="19.649999999999999" customHeight="1">
      <c r="B96" s="3" t="s">
        <v>75</v>
      </c>
      <c r="D96" s="24">
        <v>135364</v>
      </c>
      <c r="E96" s="25">
        <v>135364</v>
      </c>
      <c r="F96" s="25">
        <v>135364</v>
      </c>
      <c r="G96" s="26">
        <v>135364</v>
      </c>
      <c r="H96" s="24">
        <v>135364</v>
      </c>
      <c r="I96" s="25">
        <v>135364</v>
      </c>
      <c r="J96" s="25">
        <v>135364</v>
      </c>
      <c r="K96" s="26">
        <v>135364</v>
      </c>
      <c r="L96" s="24">
        <v>135364</v>
      </c>
      <c r="M96" s="25">
        <v>135364</v>
      </c>
      <c r="N96" s="25">
        <v>135364</v>
      </c>
      <c r="O96" s="25">
        <v>135364</v>
      </c>
      <c r="P96" s="24">
        <v>135364</v>
      </c>
      <c r="Q96" s="25">
        <v>135364</v>
      </c>
      <c r="R96" s="25">
        <v>135364</v>
      </c>
      <c r="S96" s="26">
        <v>135364</v>
      </c>
      <c r="T96" s="61"/>
      <c r="U96" s="24">
        <f t="shared" si="51"/>
        <v>135364</v>
      </c>
      <c r="V96" s="25">
        <f t="shared" si="52"/>
        <v>135364</v>
      </c>
      <c r="W96" s="25">
        <f t="shared" si="53"/>
        <v>135364</v>
      </c>
      <c r="X96" s="26">
        <f t="shared" si="54"/>
        <v>135364</v>
      </c>
    </row>
    <row r="97" spans="1:24" ht="19.649999999999999" customHeight="1">
      <c r="B97" s="3" t="s">
        <v>76</v>
      </c>
      <c r="D97" s="24">
        <v>186423</v>
      </c>
      <c r="E97" s="25">
        <v>186423</v>
      </c>
      <c r="F97" s="25">
        <v>186463</v>
      </c>
      <c r="G97" s="26">
        <v>186463</v>
      </c>
      <c r="H97" s="24">
        <v>186463</v>
      </c>
      <c r="I97" s="25">
        <v>186463</v>
      </c>
      <c r="J97" s="25">
        <v>186122</v>
      </c>
      <c r="K97" s="26">
        <v>186086</v>
      </c>
      <c r="L97" s="24">
        <v>186130</v>
      </c>
      <c r="M97" s="25">
        <v>186142</v>
      </c>
      <c r="N97" s="25">
        <v>186155</v>
      </c>
      <c r="O97" s="25">
        <v>186173</v>
      </c>
      <c r="P97" s="24">
        <v>186189</v>
      </c>
      <c r="Q97" s="25">
        <v>186205</v>
      </c>
      <c r="R97" s="25">
        <v>186217</v>
      </c>
      <c r="S97" s="26">
        <v>186231</v>
      </c>
      <c r="T97" s="61"/>
      <c r="U97" s="24">
        <f t="shared" si="51"/>
        <v>186463</v>
      </c>
      <c r="V97" s="25">
        <f t="shared" si="52"/>
        <v>186086</v>
      </c>
      <c r="W97" s="25">
        <f t="shared" si="53"/>
        <v>186173</v>
      </c>
      <c r="X97" s="26">
        <f t="shared" si="54"/>
        <v>186231</v>
      </c>
    </row>
    <row r="98" spans="1:24" ht="19.649999999999999" customHeight="1">
      <c r="B98" s="3" t="s">
        <v>77</v>
      </c>
      <c r="D98" s="61">
        <v>-37319</v>
      </c>
      <c r="E98" s="27">
        <v>-37322</v>
      </c>
      <c r="F98" s="27">
        <v>-37325</v>
      </c>
      <c r="G98" s="62">
        <v>-37329</v>
      </c>
      <c r="H98" s="61">
        <v>-37331</v>
      </c>
      <c r="I98" s="27">
        <v>-37334</v>
      </c>
      <c r="J98" s="27">
        <v>-37391</v>
      </c>
      <c r="K98" s="62">
        <v>-37394</v>
      </c>
      <c r="L98" s="61">
        <v>-37385</v>
      </c>
      <c r="M98" s="27">
        <v>-37790</v>
      </c>
      <c r="N98" s="27">
        <v>-37793</v>
      </c>
      <c r="O98" s="27">
        <v>-37795</v>
      </c>
      <c r="P98" s="61">
        <v>-37845</v>
      </c>
      <c r="Q98" s="27">
        <v>-37732</v>
      </c>
      <c r="R98" s="27">
        <v>-37732</v>
      </c>
      <c r="S98" s="62">
        <v>-45024</v>
      </c>
      <c r="T98" s="61"/>
      <c r="U98" s="61">
        <f>G98</f>
        <v>-37329</v>
      </c>
      <c r="V98" s="27">
        <f>K98</f>
        <v>-37394</v>
      </c>
      <c r="W98" s="27">
        <f t="shared" si="53"/>
        <v>-37795</v>
      </c>
      <c r="X98" s="62">
        <f t="shared" si="54"/>
        <v>-45024</v>
      </c>
    </row>
    <row r="99" spans="1:24" ht="19.649999999999999" customHeight="1">
      <c r="B99" s="3" t="s">
        <v>78</v>
      </c>
      <c r="D99" s="61">
        <v>114789</v>
      </c>
      <c r="E99" s="27">
        <v>135882</v>
      </c>
      <c r="F99" s="27">
        <v>149172</v>
      </c>
      <c r="G99" s="62">
        <v>114954</v>
      </c>
      <c r="H99" s="61">
        <v>83878</v>
      </c>
      <c r="I99" s="27">
        <v>103306</v>
      </c>
      <c r="J99" s="27">
        <v>77553</v>
      </c>
      <c r="K99" s="62">
        <v>73645</v>
      </c>
      <c r="L99" s="61">
        <v>56035</v>
      </c>
      <c r="M99" s="27">
        <v>45438</v>
      </c>
      <c r="N99" s="27">
        <v>64300</v>
      </c>
      <c r="O99" s="27">
        <v>41898</v>
      </c>
      <c r="P99" s="61">
        <v>45872</v>
      </c>
      <c r="Q99" s="27">
        <v>48715</v>
      </c>
      <c r="R99" s="27">
        <v>56125</v>
      </c>
      <c r="S99" s="62">
        <v>82097</v>
      </c>
      <c r="T99" s="61"/>
      <c r="U99" s="61">
        <f>G99</f>
        <v>114954</v>
      </c>
      <c r="V99" s="27">
        <f>K99</f>
        <v>73645</v>
      </c>
      <c r="W99" s="27">
        <f t="shared" si="53"/>
        <v>41898</v>
      </c>
      <c r="X99" s="62">
        <f t="shared" si="54"/>
        <v>82097</v>
      </c>
    </row>
    <row r="100" spans="1:24" ht="19.649999999999999" customHeight="1">
      <c r="A100" s="79"/>
      <c r="B100" s="79" t="s">
        <v>79</v>
      </c>
      <c r="C100" s="79"/>
      <c r="D100" s="98">
        <v>659178</v>
      </c>
      <c r="E100" s="88">
        <v>652909</v>
      </c>
      <c r="F100" s="88">
        <v>656936</v>
      </c>
      <c r="G100" s="99">
        <v>510113</v>
      </c>
      <c r="H100" s="98">
        <v>547670</v>
      </c>
      <c r="I100" s="88">
        <v>574884</v>
      </c>
      <c r="J100" s="88">
        <v>582368</v>
      </c>
      <c r="K100" s="99">
        <v>574876</v>
      </c>
      <c r="L100" s="98">
        <v>581077</v>
      </c>
      <c r="M100" s="88">
        <v>594764</v>
      </c>
      <c r="N100" s="88">
        <v>595652</v>
      </c>
      <c r="O100" s="88">
        <v>594731</v>
      </c>
      <c r="P100" s="98">
        <v>566936</v>
      </c>
      <c r="Q100" s="88">
        <v>563393</v>
      </c>
      <c r="R100" s="88">
        <v>557903</v>
      </c>
      <c r="S100" s="99">
        <v>561578</v>
      </c>
      <c r="T100" s="61"/>
      <c r="U100" s="98">
        <f t="shared" si="51"/>
        <v>510113</v>
      </c>
      <c r="V100" s="88">
        <f t="shared" si="52"/>
        <v>574876</v>
      </c>
      <c r="W100" s="88">
        <f t="shared" si="53"/>
        <v>594731</v>
      </c>
      <c r="X100" s="99">
        <f t="shared" si="54"/>
        <v>561578</v>
      </c>
    </row>
    <row r="101" spans="1:24" ht="19.649999999999999" customHeight="1">
      <c r="A101" s="79"/>
      <c r="B101" s="79"/>
      <c r="C101" s="79" t="s">
        <v>80</v>
      </c>
      <c r="D101" s="98">
        <f t="shared" ref="D101:L101" si="61">SUM(D96:D100)</f>
        <v>1058435</v>
      </c>
      <c r="E101" s="88">
        <f t="shared" si="61"/>
        <v>1073256</v>
      </c>
      <c r="F101" s="88">
        <f t="shared" si="61"/>
        <v>1090610</v>
      </c>
      <c r="G101" s="99">
        <f t="shared" si="61"/>
        <v>909565</v>
      </c>
      <c r="H101" s="98">
        <f t="shared" si="61"/>
        <v>916044</v>
      </c>
      <c r="I101" s="88">
        <f t="shared" si="61"/>
        <v>962683</v>
      </c>
      <c r="J101" s="88">
        <f t="shared" si="61"/>
        <v>944016</v>
      </c>
      <c r="K101" s="99">
        <f t="shared" si="61"/>
        <v>932577</v>
      </c>
      <c r="L101" s="98">
        <f t="shared" si="61"/>
        <v>921221</v>
      </c>
      <c r="M101" s="88">
        <f t="shared" ref="M101" si="62">SUM(M96:M100)</f>
        <v>923918</v>
      </c>
      <c r="N101" s="88">
        <v>943678</v>
      </c>
      <c r="O101" s="88">
        <f t="shared" ref="O101:P101" si="63">SUM(O96:O100)</f>
        <v>920371</v>
      </c>
      <c r="P101" s="98">
        <f t="shared" si="63"/>
        <v>896516</v>
      </c>
      <c r="Q101" s="88">
        <v>895945</v>
      </c>
      <c r="R101" s="88">
        <v>897877</v>
      </c>
      <c r="S101" s="99">
        <v>920246</v>
      </c>
      <c r="T101" s="61"/>
      <c r="U101" s="98">
        <f t="shared" si="51"/>
        <v>909565</v>
      </c>
      <c r="V101" s="88">
        <f t="shared" si="52"/>
        <v>932577</v>
      </c>
      <c r="W101" s="88">
        <f t="shared" si="53"/>
        <v>920371</v>
      </c>
      <c r="X101" s="99">
        <f t="shared" si="54"/>
        <v>920246</v>
      </c>
    </row>
    <row r="102" spans="1:24" ht="19.649999999999999" customHeight="1">
      <c r="A102" s="29"/>
      <c r="B102" s="29" t="s">
        <v>81</v>
      </c>
      <c r="C102" s="29"/>
      <c r="D102" s="100">
        <v>75762</v>
      </c>
      <c r="E102" s="101">
        <v>77186</v>
      </c>
      <c r="F102" s="101">
        <v>78242</v>
      </c>
      <c r="G102" s="102">
        <v>79190</v>
      </c>
      <c r="H102" s="100">
        <v>80461</v>
      </c>
      <c r="I102" s="101">
        <v>84505</v>
      </c>
      <c r="J102" s="101">
        <v>84889</v>
      </c>
      <c r="K102" s="102">
        <v>86411</v>
      </c>
      <c r="L102" s="100">
        <v>85531</v>
      </c>
      <c r="M102" s="101">
        <v>87016</v>
      </c>
      <c r="N102" s="101">
        <v>88427</v>
      </c>
      <c r="O102" s="101">
        <v>88156</v>
      </c>
      <c r="P102" s="100">
        <v>3499</v>
      </c>
      <c r="Q102" s="101">
        <v>3522</v>
      </c>
      <c r="R102" s="101">
        <v>3518</v>
      </c>
      <c r="S102" s="102">
        <v>3606</v>
      </c>
      <c r="T102" s="61"/>
      <c r="U102" s="100">
        <f t="shared" si="51"/>
        <v>79190</v>
      </c>
      <c r="V102" s="101">
        <f t="shared" si="52"/>
        <v>86411</v>
      </c>
      <c r="W102" s="101">
        <f t="shared" si="53"/>
        <v>88156</v>
      </c>
      <c r="X102" s="102">
        <f t="shared" si="54"/>
        <v>3606</v>
      </c>
    </row>
    <row r="103" spans="1:24" ht="19.649999999999999" customHeight="1">
      <c r="C103" s="3" t="s">
        <v>82</v>
      </c>
      <c r="D103" s="24">
        <f t="shared" ref="D103:M103" si="64">SUM(D101:D102)</f>
        <v>1134197</v>
      </c>
      <c r="E103" s="25">
        <f t="shared" si="64"/>
        <v>1150442</v>
      </c>
      <c r="F103" s="25">
        <f t="shared" si="64"/>
        <v>1168852</v>
      </c>
      <c r="G103" s="26">
        <f t="shared" si="64"/>
        <v>988755</v>
      </c>
      <c r="H103" s="24">
        <f t="shared" si="64"/>
        <v>996505</v>
      </c>
      <c r="I103" s="25">
        <f t="shared" si="64"/>
        <v>1047188</v>
      </c>
      <c r="J103" s="25">
        <f t="shared" si="64"/>
        <v>1028905</v>
      </c>
      <c r="K103" s="26">
        <f t="shared" si="64"/>
        <v>1018988</v>
      </c>
      <c r="L103" s="24">
        <f t="shared" si="64"/>
        <v>1006752</v>
      </c>
      <c r="M103" s="25">
        <f t="shared" si="64"/>
        <v>1010934</v>
      </c>
      <c r="N103" s="25">
        <v>1032105</v>
      </c>
      <c r="O103" s="25">
        <f t="shared" ref="O103:P103" si="65">SUM(O101:O102)</f>
        <v>1008527</v>
      </c>
      <c r="P103" s="24">
        <f t="shared" si="65"/>
        <v>900015</v>
      </c>
      <c r="Q103" s="25">
        <v>899467</v>
      </c>
      <c r="R103" s="25">
        <v>901395</v>
      </c>
      <c r="S103" s="26">
        <v>923852</v>
      </c>
      <c r="T103" s="61"/>
      <c r="U103" s="24">
        <f t="shared" si="51"/>
        <v>988755</v>
      </c>
      <c r="V103" s="25">
        <f t="shared" si="52"/>
        <v>1018988</v>
      </c>
      <c r="W103" s="25">
        <f t="shared" si="53"/>
        <v>1008527</v>
      </c>
      <c r="X103" s="26">
        <f t="shared" si="54"/>
        <v>923852</v>
      </c>
    </row>
    <row r="104" spans="1:24" ht="19.649999999999999" customHeight="1" thickBot="1">
      <c r="A104" s="89"/>
      <c r="B104" s="89"/>
      <c r="C104" s="89" t="s">
        <v>83</v>
      </c>
      <c r="D104" s="90">
        <f t="shared" ref="D104:L104" si="66">SUM(D90,D95,D103)</f>
        <v>2780837</v>
      </c>
      <c r="E104" s="91">
        <f t="shared" si="66"/>
        <v>2826023</v>
      </c>
      <c r="F104" s="91">
        <f t="shared" si="66"/>
        <v>2845381</v>
      </c>
      <c r="G104" s="92">
        <f t="shared" si="66"/>
        <v>2641030</v>
      </c>
      <c r="H104" s="90">
        <f t="shared" si="66"/>
        <v>2671314</v>
      </c>
      <c r="I104" s="91">
        <f t="shared" si="66"/>
        <v>2699627</v>
      </c>
      <c r="J104" s="91">
        <f t="shared" si="66"/>
        <v>2662032</v>
      </c>
      <c r="K104" s="92">
        <f t="shared" si="66"/>
        <v>2725132</v>
      </c>
      <c r="L104" s="90">
        <f t="shared" si="66"/>
        <v>2777661</v>
      </c>
      <c r="M104" s="91">
        <f t="shared" ref="M104" si="67">SUM(M90,M95,M103)</f>
        <v>2851991</v>
      </c>
      <c r="N104" s="91">
        <v>2873346</v>
      </c>
      <c r="O104" s="91">
        <f t="shared" ref="O104:P104" si="68">SUM(O90,O95,O103)</f>
        <v>2867645</v>
      </c>
      <c r="P104" s="90">
        <f t="shared" si="68"/>
        <v>1821869</v>
      </c>
      <c r="Q104" s="91">
        <v>1837549</v>
      </c>
      <c r="R104" s="91">
        <v>1846889</v>
      </c>
      <c r="S104" s="92">
        <v>1887868</v>
      </c>
      <c r="T104" s="61"/>
      <c r="U104" s="90">
        <f t="shared" si="51"/>
        <v>2641030</v>
      </c>
      <c r="V104" s="91">
        <f t="shared" si="52"/>
        <v>2725132</v>
      </c>
      <c r="W104" s="91">
        <f t="shared" si="53"/>
        <v>2867645</v>
      </c>
      <c r="X104" s="92">
        <f t="shared" si="54"/>
        <v>1887868</v>
      </c>
    </row>
    <row r="107" spans="1:24" s="4" customFormat="1">
      <c r="A107" s="1" t="s">
        <v>84</v>
      </c>
      <c r="B107" s="1"/>
      <c r="C107" s="1"/>
    </row>
    <row r="109" spans="1:24">
      <c r="A109" s="5"/>
      <c r="B109" s="5"/>
      <c r="C109" s="5"/>
      <c r="D109" s="6"/>
      <c r="E109" s="5"/>
      <c r="F109" s="5"/>
      <c r="G109" s="7"/>
      <c r="H109" s="6"/>
      <c r="I109" s="5"/>
      <c r="J109" s="5"/>
      <c r="K109" s="7"/>
      <c r="L109" s="6"/>
      <c r="M109" s="5"/>
      <c r="N109" s="5"/>
      <c r="O109" s="5"/>
      <c r="P109" s="6"/>
      <c r="Q109" s="5"/>
      <c r="R109" s="5"/>
      <c r="S109" s="7"/>
      <c r="T109" s="204"/>
      <c r="U109" s="6"/>
      <c r="V109" s="5"/>
      <c r="W109" s="5"/>
      <c r="X109" s="7"/>
    </row>
    <row r="110" spans="1:24">
      <c r="D110" s="103" t="str">
        <f>D4</f>
        <v>FY2017</v>
      </c>
      <c r="E110" s="79"/>
      <c r="F110" s="79"/>
      <c r="G110" s="80"/>
      <c r="H110" s="103" t="str">
        <f>H4</f>
        <v>FY2018</v>
      </c>
      <c r="I110" s="79"/>
      <c r="J110" s="79"/>
      <c r="K110" s="80"/>
      <c r="L110" s="103" t="str">
        <f>L4</f>
        <v>FY2019</v>
      </c>
      <c r="M110" s="79"/>
      <c r="N110" s="79"/>
      <c r="O110" s="79"/>
      <c r="P110" s="103" t="str">
        <f>P4</f>
        <v>FY2020</v>
      </c>
      <c r="Q110" s="79"/>
      <c r="R110" s="79"/>
      <c r="S110" s="80"/>
      <c r="T110" s="204"/>
      <c r="U110" s="207" t="str">
        <f>U4</f>
        <v>FY2017</v>
      </c>
      <c r="V110" s="11" t="str">
        <f>V4</f>
        <v>FY2018</v>
      </c>
      <c r="W110" s="11" t="str">
        <f>W4</f>
        <v>FY2019</v>
      </c>
      <c r="X110" s="208" t="str">
        <f>X4</f>
        <v>FY2020</v>
      </c>
    </row>
    <row r="111" spans="1:24" ht="19.649999999999999" customHeight="1">
      <c r="A111" s="79"/>
      <c r="B111" s="79"/>
      <c r="C111" s="79"/>
      <c r="D111" s="12" t="s">
        <v>9</v>
      </c>
      <c r="E111" s="13" t="str">
        <f>E5</f>
        <v>Q2</v>
      </c>
      <c r="F111" s="13" t="str">
        <f>F5</f>
        <v>Q3</v>
      </c>
      <c r="G111" s="14" t="str">
        <f>G5</f>
        <v>Q4</v>
      </c>
      <c r="H111" s="12" t="s">
        <v>9</v>
      </c>
      <c r="I111" s="13" t="str">
        <f>I5</f>
        <v>Q2</v>
      </c>
      <c r="J111" s="13" t="str">
        <f>J5</f>
        <v>Q3</v>
      </c>
      <c r="K111" s="14" t="str">
        <f>K5</f>
        <v>Q4</v>
      </c>
      <c r="L111" s="12" t="s">
        <v>9</v>
      </c>
      <c r="M111" s="13" t="str">
        <f>M5</f>
        <v>Q2</v>
      </c>
      <c r="N111" s="13" t="s">
        <v>11</v>
      </c>
      <c r="O111" s="13" t="str">
        <f>O5</f>
        <v>Q4</v>
      </c>
      <c r="P111" s="12" t="s">
        <v>9</v>
      </c>
      <c r="Q111" s="13" t="str">
        <f>Q5</f>
        <v>Q2</v>
      </c>
      <c r="R111" s="13" t="str">
        <f>R5</f>
        <v>Q3</v>
      </c>
      <c r="S111" s="14" t="str">
        <f>S5</f>
        <v>Q4</v>
      </c>
      <c r="T111" s="204"/>
      <c r="U111" s="209"/>
      <c r="V111" s="15"/>
      <c r="W111" s="15"/>
      <c r="X111" s="210"/>
    </row>
    <row r="112" spans="1:24" ht="19.649999999999999" customHeight="1">
      <c r="A112" s="29" t="s">
        <v>85</v>
      </c>
      <c r="B112" s="29"/>
      <c r="C112" s="29"/>
      <c r="D112" s="104">
        <v>5013</v>
      </c>
      <c r="E112" s="105">
        <v>3825</v>
      </c>
      <c r="F112" s="105">
        <v>31472</v>
      </c>
      <c r="G112" s="106">
        <v>69977</v>
      </c>
      <c r="H112" s="104">
        <v>21566</v>
      </c>
      <c r="I112" s="105">
        <v>5981</v>
      </c>
      <c r="J112" s="105">
        <v>9087</v>
      </c>
      <c r="K112" s="106">
        <v>45313</v>
      </c>
      <c r="L112" s="104">
        <v>23362</v>
      </c>
      <c r="M112" s="105">
        <v>6892</v>
      </c>
      <c r="N112" s="105">
        <v>28616</v>
      </c>
      <c r="O112" s="105">
        <v>57831</v>
      </c>
      <c r="P112" s="104">
        <v>27358</v>
      </c>
      <c r="Q112" s="105">
        <v>2201</v>
      </c>
      <c r="R112" s="105">
        <v>43130</v>
      </c>
      <c r="S112" s="106">
        <v>54273</v>
      </c>
      <c r="T112" s="61"/>
      <c r="U112" s="104">
        <f>SUM(D112:G112)</f>
        <v>110287</v>
      </c>
      <c r="V112" s="105">
        <f>SUM(H112:K112)</f>
        <v>81947</v>
      </c>
      <c r="W112" s="105">
        <f t="shared" ref="W112:W114" si="69">SUM(L112:O112)</f>
        <v>116701</v>
      </c>
      <c r="X112" s="106">
        <f t="shared" ref="X112:X114" si="70">SUM(P112:S112)</f>
        <v>126962</v>
      </c>
    </row>
    <row r="113" spans="1:24" ht="19.649999999999999" customHeight="1">
      <c r="A113" s="29" t="s">
        <v>86</v>
      </c>
      <c r="B113" s="29"/>
      <c r="C113" s="29"/>
      <c r="D113" s="104">
        <v>1751</v>
      </c>
      <c r="E113" s="105">
        <v>-21833</v>
      </c>
      <c r="F113" s="105">
        <v>-20533</v>
      </c>
      <c r="G113" s="106">
        <v>-40461</v>
      </c>
      <c r="H113" s="104">
        <v>27111</v>
      </c>
      <c r="I113" s="105">
        <v>-18217</v>
      </c>
      <c r="J113" s="105">
        <v>-14709</v>
      </c>
      <c r="K113" s="106">
        <v>-40116</v>
      </c>
      <c r="L113" s="104">
        <v>-29403</v>
      </c>
      <c r="M113" s="105">
        <v>-54420</v>
      </c>
      <c r="N113" s="105">
        <v>-41379</v>
      </c>
      <c r="O113" s="105">
        <v>-39389</v>
      </c>
      <c r="P113" s="104">
        <v>-11459</v>
      </c>
      <c r="Q113" s="105">
        <v>-19883</v>
      </c>
      <c r="R113" s="105">
        <v>-14120</v>
      </c>
      <c r="S113" s="106">
        <v>-18097</v>
      </c>
      <c r="T113" s="61"/>
      <c r="U113" s="104">
        <f t="shared" ref="U113:U114" si="71">SUM(D113:G113)</f>
        <v>-81076</v>
      </c>
      <c r="V113" s="105">
        <f t="shared" ref="V113:V114" si="72">SUM(H113:K113)</f>
        <v>-45931</v>
      </c>
      <c r="W113" s="105">
        <f t="shared" si="69"/>
        <v>-164591</v>
      </c>
      <c r="X113" s="106">
        <f t="shared" si="70"/>
        <v>-63559</v>
      </c>
    </row>
    <row r="114" spans="1:24" ht="19.649999999999999" customHeight="1">
      <c r="A114" s="29" t="s">
        <v>87</v>
      </c>
      <c r="B114" s="29"/>
      <c r="C114" s="29"/>
      <c r="D114" s="104">
        <v>5455</v>
      </c>
      <c r="E114" s="105">
        <v>33907</v>
      </c>
      <c r="F114" s="105">
        <v>-7325</v>
      </c>
      <c r="G114" s="106">
        <v>-25630</v>
      </c>
      <c r="H114" s="104">
        <v>13813</v>
      </c>
      <c r="I114" s="105">
        <v>-11083</v>
      </c>
      <c r="J114" s="105">
        <v>6887</v>
      </c>
      <c r="K114" s="106">
        <v>32807</v>
      </c>
      <c r="L114" s="104">
        <v>4616</v>
      </c>
      <c r="M114" s="105">
        <v>60623</v>
      </c>
      <c r="N114" s="105">
        <v>-7938</v>
      </c>
      <c r="O114" s="105">
        <v>18456</v>
      </c>
      <c r="P114" s="104">
        <v>40464</v>
      </c>
      <c r="Q114" s="105">
        <v>25340</v>
      </c>
      <c r="R114" s="105">
        <v>-31044</v>
      </c>
      <c r="S114" s="106">
        <v>-38845</v>
      </c>
      <c r="T114" s="61"/>
      <c r="U114" s="104">
        <f t="shared" si="71"/>
        <v>6407</v>
      </c>
      <c r="V114" s="105">
        <f t="shared" si="72"/>
        <v>42424</v>
      </c>
      <c r="W114" s="105">
        <f t="shared" si="69"/>
        <v>75757</v>
      </c>
      <c r="X114" s="106">
        <f t="shared" si="70"/>
        <v>-4085</v>
      </c>
    </row>
    <row r="115" spans="1:24" ht="19.649999999999999" customHeight="1" thickBot="1">
      <c r="A115" s="89" t="s">
        <v>88</v>
      </c>
      <c r="B115" s="89"/>
      <c r="C115" s="89"/>
      <c r="D115" s="90">
        <v>140182</v>
      </c>
      <c r="E115" s="91">
        <v>156707</v>
      </c>
      <c r="F115" s="91">
        <v>159623</v>
      </c>
      <c r="G115" s="92">
        <v>160568</v>
      </c>
      <c r="H115" s="90">
        <v>224245</v>
      </c>
      <c r="I115" s="91">
        <v>203010</v>
      </c>
      <c r="J115" s="91">
        <v>201290</v>
      </c>
      <c r="K115" s="92">
        <v>240099</v>
      </c>
      <c r="L115" s="90">
        <v>234039</v>
      </c>
      <c r="M115" s="91">
        <v>245911</v>
      </c>
      <c r="N115" s="91">
        <v>229248</v>
      </c>
      <c r="O115" s="91">
        <v>263688</v>
      </c>
      <c r="P115" s="90">
        <v>320015</v>
      </c>
      <c r="Q115" s="91">
        <v>328053</v>
      </c>
      <c r="R115" s="91">
        <v>325887</v>
      </c>
      <c r="S115" s="92">
        <v>330344</v>
      </c>
      <c r="T115" s="61"/>
      <c r="U115" s="90">
        <f>+G115</f>
        <v>160568</v>
      </c>
      <c r="V115" s="91">
        <v>240099</v>
      </c>
      <c r="W115" s="91">
        <v>262834</v>
      </c>
      <c r="X115" s="92">
        <v>330344</v>
      </c>
    </row>
    <row r="116" spans="1:24" ht="18.75" customHeight="1" thickBot="1">
      <c r="A116" s="43" t="s">
        <v>18</v>
      </c>
      <c r="B116" s="43"/>
      <c r="C116" s="43"/>
      <c r="D116" s="45">
        <f>D112+D113</f>
        <v>6764</v>
      </c>
      <c r="E116" s="46">
        <f>E112+E113</f>
        <v>-18008</v>
      </c>
      <c r="F116" s="46">
        <f>F112+F113</f>
        <v>10939</v>
      </c>
      <c r="G116" s="47">
        <f t="shared" ref="G116" si="73">G112+G113</f>
        <v>29516</v>
      </c>
      <c r="H116" s="45">
        <f>H112+H113</f>
        <v>48677</v>
      </c>
      <c r="I116" s="46">
        <f>I112+I113</f>
        <v>-12236</v>
      </c>
      <c r="J116" s="46">
        <f>J112+J113</f>
        <v>-5622</v>
      </c>
      <c r="K116" s="47">
        <f t="shared" ref="K116" si="74">K112+K113</f>
        <v>5197</v>
      </c>
      <c r="L116" s="45">
        <f>L112+L113</f>
        <v>-6041</v>
      </c>
      <c r="M116" s="46">
        <f>M112+M113</f>
        <v>-47528</v>
      </c>
      <c r="N116" s="46">
        <v>-12763</v>
      </c>
      <c r="O116" s="46">
        <f t="shared" ref="O116" si="75">O112+O113</f>
        <v>18442</v>
      </c>
      <c r="P116" s="45">
        <f>P112+P113</f>
        <v>15899</v>
      </c>
      <c r="Q116" s="46">
        <f>Q112+Q113</f>
        <v>-17682</v>
      </c>
      <c r="R116" s="46">
        <v>29010</v>
      </c>
      <c r="S116" s="47">
        <v>36176</v>
      </c>
      <c r="T116" s="61"/>
      <c r="U116" s="45">
        <f>SUM(U112:U113)</f>
        <v>29211</v>
      </c>
      <c r="V116" s="46">
        <f>SUM(V112:V113)</f>
        <v>36016</v>
      </c>
      <c r="W116" s="46">
        <f>SUM(W112:W113)</f>
        <v>-47890</v>
      </c>
      <c r="X116" s="47">
        <f>SUM(X112:X113)</f>
        <v>63403</v>
      </c>
    </row>
    <row r="120" spans="1:24">
      <c r="A120" s="1" t="s">
        <v>89</v>
      </c>
      <c r="B120" s="2"/>
      <c r="C120" s="2"/>
    </row>
    <row r="121" spans="1:24">
      <c r="A121" s="4"/>
    </row>
    <row r="122" spans="1:24">
      <c r="A122" s="5"/>
      <c r="B122" s="5"/>
      <c r="C122" s="5"/>
      <c r="D122" s="6"/>
      <c r="E122" s="5"/>
      <c r="F122" s="5"/>
      <c r="G122" s="7"/>
      <c r="H122" s="6"/>
      <c r="I122" s="5"/>
      <c r="J122" s="5"/>
      <c r="K122" s="7"/>
      <c r="L122" s="6"/>
      <c r="M122" s="5"/>
      <c r="N122" s="5"/>
      <c r="O122" s="5"/>
      <c r="P122" s="6"/>
      <c r="Q122" s="5"/>
      <c r="R122" s="5"/>
      <c r="S122" s="7"/>
      <c r="T122" s="204"/>
      <c r="U122" s="6"/>
      <c r="V122" s="5"/>
      <c r="W122" s="5"/>
      <c r="X122" s="7"/>
    </row>
    <row r="123" spans="1:24">
      <c r="D123" s="8" t="str">
        <f>D4</f>
        <v>FY2017</v>
      </c>
      <c r="E123" s="79"/>
      <c r="F123" s="79"/>
      <c r="G123" s="80"/>
      <c r="H123" s="8" t="str">
        <f>H4</f>
        <v>FY2018</v>
      </c>
      <c r="I123" s="79"/>
      <c r="J123" s="79"/>
      <c r="K123" s="80"/>
      <c r="L123" s="8" t="str">
        <f>L4</f>
        <v>FY2019</v>
      </c>
      <c r="M123" s="79"/>
      <c r="N123" s="79"/>
      <c r="O123" s="79"/>
      <c r="P123" s="8" t="str">
        <f>P4</f>
        <v>FY2020</v>
      </c>
      <c r="Q123" s="79"/>
      <c r="R123" s="79"/>
      <c r="S123" s="80"/>
      <c r="T123" s="204"/>
      <c r="U123" s="207" t="str">
        <f>U4</f>
        <v>FY2017</v>
      </c>
      <c r="V123" s="11" t="str">
        <f>V4</f>
        <v>FY2018</v>
      </c>
      <c r="W123" s="11" t="str">
        <f>W4</f>
        <v>FY2019</v>
      </c>
      <c r="X123" s="208" t="str">
        <f>X4</f>
        <v>FY2020</v>
      </c>
    </row>
    <row r="124" spans="1:24" ht="19.649999999999999" customHeight="1">
      <c r="A124" s="79"/>
      <c r="B124" s="79"/>
      <c r="C124" s="79"/>
      <c r="D124" s="12" t="s">
        <v>9</v>
      </c>
      <c r="E124" s="13" t="s">
        <v>10</v>
      </c>
      <c r="F124" s="13" t="str">
        <f>F5</f>
        <v>Q3</v>
      </c>
      <c r="G124" s="14" t="str">
        <f>G5</f>
        <v>Q4</v>
      </c>
      <c r="H124" s="12" t="s">
        <v>9</v>
      </c>
      <c r="I124" s="13" t="s">
        <v>10</v>
      </c>
      <c r="J124" s="13" t="str">
        <f>J5</f>
        <v>Q3</v>
      </c>
      <c r="K124" s="14" t="str">
        <f>K5</f>
        <v>Q4</v>
      </c>
      <c r="L124" s="12" t="s">
        <v>9</v>
      </c>
      <c r="M124" s="13" t="s">
        <v>10</v>
      </c>
      <c r="N124" s="13" t="s">
        <v>11</v>
      </c>
      <c r="O124" s="13" t="str">
        <f>O5</f>
        <v>Q4</v>
      </c>
      <c r="P124" s="12" t="s">
        <v>9</v>
      </c>
      <c r="Q124" s="13" t="s">
        <v>10</v>
      </c>
      <c r="R124" s="13" t="str">
        <f>R5</f>
        <v>Q3</v>
      </c>
      <c r="S124" s="14" t="str">
        <f>S5</f>
        <v>Q4</v>
      </c>
      <c r="T124" s="204"/>
      <c r="U124" s="209"/>
      <c r="V124" s="15"/>
      <c r="W124" s="15"/>
      <c r="X124" s="210"/>
    </row>
    <row r="125" spans="1:24" s="19" customFormat="1" ht="21.9" customHeight="1">
      <c r="A125" s="63" t="s">
        <v>90</v>
      </c>
      <c r="B125" s="63"/>
      <c r="C125" s="63"/>
      <c r="D125" s="107"/>
      <c r="E125" s="108"/>
      <c r="F125" s="108"/>
      <c r="G125" s="109"/>
      <c r="H125" s="107"/>
      <c r="I125" s="108"/>
      <c r="J125" s="108"/>
      <c r="K125" s="109"/>
      <c r="L125" s="107"/>
      <c r="M125" s="108"/>
      <c r="N125" s="108"/>
      <c r="O125" s="108"/>
      <c r="P125" s="107"/>
      <c r="Q125" s="108"/>
      <c r="R125" s="108"/>
      <c r="S125" s="109"/>
      <c r="T125" s="18"/>
      <c r="U125" s="107"/>
      <c r="V125" s="108"/>
      <c r="W125" s="108"/>
      <c r="X125" s="109"/>
    </row>
    <row r="126" spans="1:24" s="19" customFormat="1" ht="16.5" customHeight="1">
      <c r="A126" s="5" t="s">
        <v>98</v>
      </c>
      <c r="B126" s="5"/>
      <c r="C126" s="5"/>
      <c r="D126" s="36">
        <v>284632</v>
      </c>
      <c r="E126" s="37">
        <v>274738</v>
      </c>
      <c r="F126" s="37">
        <v>289877</v>
      </c>
      <c r="G126" s="38">
        <v>294806</v>
      </c>
      <c r="H126" s="36">
        <v>273725</v>
      </c>
      <c r="I126" s="37">
        <v>264852</v>
      </c>
      <c r="J126" s="37">
        <v>270636</v>
      </c>
      <c r="K126" s="38">
        <v>277215</v>
      </c>
      <c r="L126" s="36">
        <v>256229</v>
      </c>
      <c r="M126" s="37">
        <v>253244</v>
      </c>
      <c r="N126" s="37">
        <v>251493</v>
      </c>
      <c r="O126" s="37">
        <v>245308</v>
      </c>
      <c r="P126" s="36">
        <v>174786</v>
      </c>
      <c r="Q126" s="37">
        <v>207499</v>
      </c>
      <c r="R126" s="37">
        <v>211310</v>
      </c>
      <c r="S126" s="38">
        <v>222300</v>
      </c>
      <c r="T126" s="206"/>
      <c r="U126" s="36">
        <f>SUM(D126:G126)</f>
        <v>1144053</v>
      </c>
      <c r="V126" s="37">
        <f>SUM(H126:K126)</f>
        <v>1086428</v>
      </c>
      <c r="W126" s="37">
        <f t="shared" ref="W126:W131" si="76">SUM(L126:O126)</f>
        <v>1006274</v>
      </c>
      <c r="X126" s="38">
        <f t="shared" ref="X126:X131" si="77">SUM(P126:S126)</f>
        <v>815895</v>
      </c>
    </row>
    <row r="127" spans="1:24" s="57" customFormat="1" ht="16.5" customHeight="1">
      <c r="A127" s="110" t="s">
        <v>99</v>
      </c>
      <c r="B127" s="110"/>
      <c r="C127" s="111"/>
      <c r="D127" s="24">
        <v>98445</v>
      </c>
      <c r="E127" s="25">
        <v>113632</v>
      </c>
      <c r="F127" s="25">
        <v>105506</v>
      </c>
      <c r="G127" s="26">
        <v>130390</v>
      </c>
      <c r="H127" s="24">
        <v>108007</v>
      </c>
      <c r="I127" s="25">
        <v>123360</v>
      </c>
      <c r="J127" s="25">
        <v>117468</v>
      </c>
      <c r="K127" s="26">
        <v>132557</v>
      </c>
      <c r="L127" s="24">
        <v>115783</v>
      </c>
      <c r="M127" s="25">
        <v>154742</v>
      </c>
      <c r="N127" s="25">
        <v>138128</v>
      </c>
      <c r="O127" s="25">
        <v>160302</v>
      </c>
      <c r="P127" s="24">
        <v>103382</v>
      </c>
      <c r="Q127" s="25">
        <v>121299</v>
      </c>
      <c r="R127" s="25">
        <v>133550</v>
      </c>
      <c r="S127" s="26">
        <v>174076</v>
      </c>
      <c r="T127" s="24"/>
      <c r="U127" s="24">
        <f t="shared" ref="U127:U131" si="78">SUM(D127:G127)</f>
        <v>447973</v>
      </c>
      <c r="V127" s="25">
        <f t="shared" ref="V127:V131" si="79">SUM(H127:K127)</f>
        <v>481392</v>
      </c>
      <c r="W127" s="25">
        <f t="shared" si="76"/>
        <v>568955</v>
      </c>
      <c r="X127" s="26">
        <f t="shared" si="77"/>
        <v>532307</v>
      </c>
    </row>
    <row r="128" spans="1:24" s="57" customFormat="1" ht="16.5" customHeight="1">
      <c r="A128" s="110" t="s">
        <v>100</v>
      </c>
      <c r="B128" s="110"/>
      <c r="C128" s="111"/>
      <c r="D128" s="24">
        <v>45698</v>
      </c>
      <c r="E128" s="25">
        <v>44886</v>
      </c>
      <c r="F128" s="25">
        <v>47213</v>
      </c>
      <c r="G128" s="26">
        <v>48136</v>
      </c>
      <c r="H128" s="24">
        <v>42424</v>
      </c>
      <c r="I128" s="25">
        <v>44089</v>
      </c>
      <c r="J128" s="25">
        <v>48634</v>
      </c>
      <c r="K128" s="26">
        <v>50145</v>
      </c>
      <c r="L128" s="24">
        <v>43056</v>
      </c>
      <c r="M128" s="25">
        <v>44481</v>
      </c>
      <c r="N128" s="25">
        <v>45838</v>
      </c>
      <c r="O128" s="25">
        <v>45021</v>
      </c>
      <c r="P128" s="24">
        <v>27794</v>
      </c>
      <c r="Q128" s="25">
        <v>34885</v>
      </c>
      <c r="R128" s="25">
        <v>35498</v>
      </c>
      <c r="S128" s="26">
        <v>36484</v>
      </c>
      <c r="T128" s="24"/>
      <c r="U128" s="24">
        <f t="shared" si="78"/>
        <v>185933</v>
      </c>
      <c r="V128" s="25">
        <f t="shared" si="79"/>
        <v>185292</v>
      </c>
      <c r="W128" s="25">
        <f t="shared" si="76"/>
        <v>178396</v>
      </c>
      <c r="X128" s="26">
        <f t="shared" si="77"/>
        <v>134661</v>
      </c>
    </row>
    <row r="129" spans="1:24" s="57" customFormat="1" ht="16.5" customHeight="1">
      <c r="A129" s="110" t="s">
        <v>101</v>
      </c>
      <c r="B129" s="110"/>
      <c r="C129" s="111"/>
      <c r="D129" s="24">
        <v>4325</v>
      </c>
      <c r="E129" s="25">
        <v>4570</v>
      </c>
      <c r="F129" s="25">
        <v>4534</v>
      </c>
      <c r="G129" s="26">
        <v>5771</v>
      </c>
      <c r="H129" s="24">
        <v>5837</v>
      </c>
      <c r="I129" s="25">
        <v>3949</v>
      </c>
      <c r="J129" s="25">
        <v>5828</v>
      </c>
      <c r="K129" s="26">
        <v>5078</v>
      </c>
      <c r="L129" s="24">
        <v>5969</v>
      </c>
      <c r="M129" s="25">
        <v>5757</v>
      </c>
      <c r="N129" s="25">
        <v>6068</v>
      </c>
      <c r="O129" s="25">
        <v>5212</v>
      </c>
      <c r="P129" s="24">
        <v>4295</v>
      </c>
      <c r="Q129" s="25">
        <v>6010</v>
      </c>
      <c r="R129" s="25">
        <v>6313</v>
      </c>
      <c r="S129" s="26">
        <v>8071</v>
      </c>
      <c r="T129" s="24"/>
      <c r="U129" s="24">
        <f t="shared" si="78"/>
        <v>19200</v>
      </c>
      <c r="V129" s="25">
        <f t="shared" si="79"/>
        <v>20692</v>
      </c>
      <c r="W129" s="25">
        <f t="shared" si="76"/>
        <v>23006</v>
      </c>
      <c r="X129" s="26">
        <f t="shared" si="77"/>
        <v>24689</v>
      </c>
    </row>
    <row r="130" spans="1:24" s="57" customFormat="1" ht="16.5" customHeight="1">
      <c r="A130" s="110" t="s">
        <v>102</v>
      </c>
      <c r="C130" s="111"/>
      <c r="D130" s="24">
        <v>14513</v>
      </c>
      <c r="E130" s="25">
        <v>14905</v>
      </c>
      <c r="F130" s="25">
        <v>16874</v>
      </c>
      <c r="G130" s="26">
        <v>15166</v>
      </c>
      <c r="H130" s="24">
        <v>16259</v>
      </c>
      <c r="I130" s="25">
        <v>16811</v>
      </c>
      <c r="J130" s="25">
        <v>17538</v>
      </c>
      <c r="K130" s="26">
        <v>15760</v>
      </c>
      <c r="L130" s="24">
        <v>16134</v>
      </c>
      <c r="M130" s="25">
        <v>15564</v>
      </c>
      <c r="N130" s="25">
        <v>16198</v>
      </c>
      <c r="O130" s="25">
        <v>14000</v>
      </c>
      <c r="P130" s="24">
        <v>13791</v>
      </c>
      <c r="Q130" s="25">
        <v>13376</v>
      </c>
      <c r="R130" s="25">
        <v>15324</v>
      </c>
      <c r="S130" s="26">
        <v>14383</v>
      </c>
      <c r="T130" s="24"/>
      <c r="U130" s="24">
        <f t="shared" si="78"/>
        <v>61458</v>
      </c>
      <c r="V130" s="25">
        <f t="shared" si="79"/>
        <v>66368</v>
      </c>
      <c r="W130" s="25">
        <f t="shared" si="76"/>
        <v>61896</v>
      </c>
      <c r="X130" s="26">
        <f t="shared" si="77"/>
        <v>56874</v>
      </c>
    </row>
    <row r="131" spans="1:24" s="57" customFormat="1" ht="16.5" customHeight="1">
      <c r="A131" s="71" t="s">
        <v>95</v>
      </c>
      <c r="B131" s="71"/>
      <c r="C131" s="71"/>
      <c r="D131" s="98">
        <v>44927</v>
      </c>
      <c r="E131" s="88">
        <v>53566</v>
      </c>
      <c r="F131" s="88">
        <v>53359</v>
      </c>
      <c r="G131" s="99">
        <v>52894</v>
      </c>
      <c r="H131" s="98">
        <v>44688</v>
      </c>
      <c r="I131" s="88">
        <v>44255</v>
      </c>
      <c r="J131" s="88">
        <v>41091</v>
      </c>
      <c r="K131" s="99">
        <v>43022</v>
      </c>
      <c r="L131" s="98">
        <v>40434</v>
      </c>
      <c r="M131" s="88">
        <v>43386</v>
      </c>
      <c r="N131" s="88">
        <v>41378</v>
      </c>
      <c r="O131" s="99">
        <v>44855</v>
      </c>
      <c r="P131" s="98">
        <v>28277</v>
      </c>
      <c r="Q131" s="88">
        <v>26554</v>
      </c>
      <c r="R131" s="88">
        <v>29128</v>
      </c>
      <c r="S131" s="99">
        <v>33684</v>
      </c>
      <c r="T131" s="24"/>
      <c r="U131" s="98">
        <f t="shared" si="78"/>
        <v>204746</v>
      </c>
      <c r="V131" s="88">
        <f t="shared" si="79"/>
        <v>173056</v>
      </c>
      <c r="W131" s="88">
        <f t="shared" si="76"/>
        <v>170053</v>
      </c>
      <c r="X131" s="99">
        <f t="shared" si="77"/>
        <v>117643</v>
      </c>
    </row>
    <row r="132" spans="1:24" s="19" customFormat="1">
      <c r="A132" s="112" t="s">
        <v>110</v>
      </c>
      <c r="B132" s="3"/>
      <c r="C132" s="3"/>
      <c r="D132" s="18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U132" s="25"/>
      <c r="V132" s="25"/>
      <c r="W132" s="25"/>
      <c r="X132" s="25"/>
    </row>
    <row r="133" spans="1:24">
      <c r="A133" s="3" t="s">
        <v>111</v>
      </c>
    </row>
    <row r="134" spans="1:24">
      <c r="A134" s="5"/>
      <c r="B134" s="5"/>
      <c r="C134" s="5"/>
      <c r="D134" s="6"/>
      <c r="E134" s="5"/>
      <c r="F134" s="5"/>
      <c r="G134" s="7"/>
      <c r="H134" s="6"/>
      <c r="I134" s="5"/>
      <c r="J134" s="5"/>
      <c r="K134" s="7"/>
      <c r="L134" s="6"/>
      <c r="M134" s="5"/>
      <c r="N134" s="5"/>
      <c r="O134" s="7"/>
      <c r="P134" s="6"/>
      <c r="Q134" s="5"/>
      <c r="R134" s="5"/>
      <c r="S134" s="7"/>
      <c r="T134" s="204"/>
      <c r="U134" s="6"/>
      <c r="V134" s="5"/>
      <c r="W134" s="5"/>
      <c r="X134" s="7"/>
    </row>
    <row r="135" spans="1:24">
      <c r="D135" s="8" t="str">
        <f>D4</f>
        <v>FY2017</v>
      </c>
      <c r="E135" s="79"/>
      <c r="F135" s="79"/>
      <c r="G135" s="80"/>
      <c r="H135" s="8" t="str">
        <f>H4</f>
        <v>FY2018</v>
      </c>
      <c r="I135" s="79"/>
      <c r="J135" s="79"/>
      <c r="K135" s="80"/>
      <c r="L135" s="8" t="str">
        <f>L4</f>
        <v>FY2019</v>
      </c>
      <c r="M135" s="79"/>
      <c r="N135" s="79"/>
      <c r="O135" s="80"/>
      <c r="P135" s="8" t="str">
        <f>P4</f>
        <v>FY2020</v>
      </c>
      <c r="Q135" s="79"/>
      <c r="R135" s="79"/>
      <c r="S135" s="80"/>
      <c r="T135" s="204"/>
      <c r="U135" s="207" t="str">
        <f>U4</f>
        <v>FY2017</v>
      </c>
      <c r="V135" s="11" t="str">
        <f>V4</f>
        <v>FY2018</v>
      </c>
      <c r="W135" s="11" t="str">
        <f>W4</f>
        <v>FY2019</v>
      </c>
      <c r="X135" s="208" t="str">
        <f>X4</f>
        <v>FY2020</v>
      </c>
    </row>
    <row r="136" spans="1:24" ht="19.649999999999999" customHeight="1">
      <c r="D136" s="12" t="s">
        <v>9</v>
      </c>
      <c r="E136" s="13" t="s">
        <v>10</v>
      </c>
      <c r="F136" s="13" t="str">
        <f>F5</f>
        <v>Q3</v>
      </c>
      <c r="G136" s="14" t="str">
        <f>G5</f>
        <v>Q4</v>
      </c>
      <c r="H136" s="12" t="s">
        <v>9</v>
      </c>
      <c r="I136" s="13" t="s">
        <v>10</v>
      </c>
      <c r="J136" s="13" t="str">
        <f>J5</f>
        <v>Q3</v>
      </c>
      <c r="K136" s="14" t="str">
        <f>K5</f>
        <v>Q4</v>
      </c>
      <c r="L136" s="12" t="s">
        <v>9</v>
      </c>
      <c r="M136" s="13" t="s">
        <v>10</v>
      </c>
      <c r="N136" s="13" t="s">
        <v>11</v>
      </c>
      <c r="O136" s="14" t="str">
        <f>O5</f>
        <v>Q4</v>
      </c>
      <c r="P136" s="12" t="s">
        <v>9</v>
      </c>
      <c r="Q136" s="13" t="s">
        <v>10</v>
      </c>
      <c r="R136" s="13" t="str">
        <f>R5</f>
        <v>Q3</v>
      </c>
      <c r="S136" s="14" t="str">
        <f>S5</f>
        <v>Q4</v>
      </c>
      <c r="T136" s="204"/>
      <c r="U136" s="209"/>
      <c r="V136" s="15"/>
      <c r="W136" s="15"/>
      <c r="X136" s="210"/>
    </row>
    <row r="137" spans="1:24" s="19" customFormat="1" ht="21.9" customHeight="1">
      <c r="A137" s="113" t="s">
        <v>103</v>
      </c>
      <c r="B137" s="113"/>
      <c r="C137" s="113"/>
      <c r="D137" s="18"/>
      <c r="G137" s="20"/>
      <c r="H137" s="18"/>
      <c r="K137" s="20"/>
      <c r="L137" s="18"/>
      <c r="O137" s="20"/>
      <c r="P137" s="18"/>
      <c r="S137" s="20"/>
      <c r="T137" s="18"/>
      <c r="U137" s="18"/>
      <c r="X137" s="20"/>
    </row>
    <row r="138" spans="1:24" s="57" customFormat="1" ht="16.5" customHeight="1">
      <c r="A138" s="110" t="s">
        <v>104</v>
      </c>
      <c r="B138" s="110"/>
      <c r="D138" s="36">
        <v>186714</v>
      </c>
      <c r="E138" s="37">
        <v>198402</v>
      </c>
      <c r="F138" s="37">
        <v>194089</v>
      </c>
      <c r="G138" s="38">
        <v>220699</v>
      </c>
      <c r="H138" s="36">
        <v>193627</v>
      </c>
      <c r="I138" s="37">
        <v>201468</v>
      </c>
      <c r="J138" s="37">
        <v>192610</v>
      </c>
      <c r="K138" s="38">
        <v>218094</v>
      </c>
      <c r="L138" s="36">
        <v>193902</v>
      </c>
      <c r="M138" s="37">
        <v>235689</v>
      </c>
      <c r="N138" s="37">
        <v>207522</v>
      </c>
      <c r="O138" s="38">
        <v>235265</v>
      </c>
      <c r="P138" s="36">
        <v>159305</v>
      </c>
      <c r="Q138" s="37">
        <v>176112</v>
      </c>
      <c r="R138" s="37">
        <v>181372</v>
      </c>
      <c r="S138" s="38">
        <v>236252</v>
      </c>
      <c r="T138" s="24"/>
      <c r="U138" s="36">
        <f>SUM(D138:G138)</f>
        <v>799904</v>
      </c>
      <c r="V138" s="37">
        <f t="shared" ref="V138:V142" si="80">SUM(H138:K138)</f>
        <v>805799</v>
      </c>
      <c r="W138" s="37">
        <f t="shared" ref="W138:W142" si="81">SUM(L138:O138)</f>
        <v>872378</v>
      </c>
      <c r="X138" s="38">
        <f t="shared" ref="X138:X142" si="82">SUM(P138:S138)</f>
        <v>753041</v>
      </c>
    </row>
    <row r="139" spans="1:24" s="57" customFormat="1" ht="16.5" customHeight="1">
      <c r="A139" s="110" t="s">
        <v>105</v>
      </c>
      <c r="B139" s="110"/>
      <c r="D139" s="24">
        <f t="shared" ref="D139:L139" si="83">SUM(D140:D142)</f>
        <v>305826</v>
      </c>
      <c r="E139" s="25">
        <f t="shared" si="83"/>
        <v>307895</v>
      </c>
      <c r="F139" s="25">
        <f t="shared" si="83"/>
        <v>323274</v>
      </c>
      <c r="G139" s="26">
        <f t="shared" si="83"/>
        <v>326464</v>
      </c>
      <c r="H139" s="25">
        <f t="shared" si="83"/>
        <v>297313</v>
      </c>
      <c r="I139" s="25">
        <v>295848</v>
      </c>
      <c r="J139" s="25">
        <f t="shared" si="83"/>
        <v>308585</v>
      </c>
      <c r="K139" s="26">
        <f t="shared" si="83"/>
        <v>305683</v>
      </c>
      <c r="L139" s="25">
        <f t="shared" si="83"/>
        <v>283703</v>
      </c>
      <c r="M139" s="25">
        <v>281485</v>
      </c>
      <c r="N139" s="25">
        <v>291581</v>
      </c>
      <c r="O139" s="26">
        <v>279433</v>
      </c>
      <c r="P139" s="25">
        <v>193020</v>
      </c>
      <c r="Q139" s="25">
        <v>233511</v>
      </c>
      <c r="R139" s="25">
        <v>249751</v>
      </c>
      <c r="S139" s="26">
        <v>252746</v>
      </c>
      <c r="T139" s="24"/>
      <c r="U139" s="24">
        <f>SUM(D139:G139)</f>
        <v>1263459</v>
      </c>
      <c r="V139" s="25">
        <f t="shared" si="80"/>
        <v>1207429</v>
      </c>
      <c r="W139" s="25">
        <f t="shared" si="81"/>
        <v>1136202</v>
      </c>
      <c r="X139" s="26">
        <f t="shared" si="82"/>
        <v>929028</v>
      </c>
    </row>
    <row r="140" spans="1:24" s="57" customFormat="1" ht="16.5" customHeight="1">
      <c r="B140" s="110" t="s">
        <v>106</v>
      </c>
      <c r="D140" s="24">
        <v>146162</v>
      </c>
      <c r="E140" s="25">
        <v>141900</v>
      </c>
      <c r="F140" s="25">
        <v>143843</v>
      </c>
      <c r="G140" s="26">
        <v>145654</v>
      </c>
      <c r="H140" s="24">
        <v>136247</v>
      </c>
      <c r="I140" s="25">
        <v>142238</v>
      </c>
      <c r="J140" s="25">
        <v>141879</v>
      </c>
      <c r="K140" s="26">
        <v>147078</v>
      </c>
      <c r="L140" s="24">
        <v>133048</v>
      </c>
      <c r="M140" s="25">
        <v>136000</v>
      </c>
      <c r="N140" s="25">
        <v>133762</v>
      </c>
      <c r="O140" s="26">
        <v>131371</v>
      </c>
      <c r="P140" s="24">
        <v>85750</v>
      </c>
      <c r="Q140" s="25">
        <v>100947</v>
      </c>
      <c r="R140" s="25">
        <v>97978</v>
      </c>
      <c r="S140" s="26">
        <v>101934</v>
      </c>
      <c r="T140" s="24"/>
      <c r="U140" s="24">
        <f>SUM(D140:G140)</f>
        <v>577559</v>
      </c>
      <c r="V140" s="25">
        <f t="shared" si="80"/>
        <v>567442</v>
      </c>
      <c r="W140" s="25">
        <f t="shared" si="81"/>
        <v>534181</v>
      </c>
      <c r="X140" s="26">
        <f t="shared" si="82"/>
        <v>386609</v>
      </c>
    </row>
    <row r="141" spans="1:24" s="57" customFormat="1" ht="16.5" customHeight="1">
      <c r="B141" s="110" t="s">
        <v>107</v>
      </c>
      <c r="D141" s="24">
        <v>110917</v>
      </c>
      <c r="E141" s="25">
        <v>113241</v>
      </c>
      <c r="F141" s="25">
        <v>123866</v>
      </c>
      <c r="G141" s="26">
        <v>129530</v>
      </c>
      <c r="H141" s="24">
        <v>114639</v>
      </c>
      <c r="I141" s="25">
        <v>108714</v>
      </c>
      <c r="J141" s="25">
        <v>117374</v>
      </c>
      <c r="K141" s="26">
        <v>118129</v>
      </c>
      <c r="L141" s="24">
        <v>106047</v>
      </c>
      <c r="M141" s="25">
        <v>102453</v>
      </c>
      <c r="N141" s="25">
        <v>113335</v>
      </c>
      <c r="O141" s="26">
        <v>114623</v>
      </c>
      <c r="P141" s="24">
        <v>74232</v>
      </c>
      <c r="Q141" s="25">
        <v>95249</v>
      </c>
      <c r="R141" s="25">
        <v>112311</v>
      </c>
      <c r="S141" s="26">
        <v>111617</v>
      </c>
      <c r="T141" s="24"/>
      <c r="U141" s="24">
        <f>SUM(D141:G141)</f>
        <v>477554</v>
      </c>
      <c r="V141" s="25">
        <f t="shared" si="80"/>
        <v>458856</v>
      </c>
      <c r="W141" s="25">
        <f t="shared" si="81"/>
        <v>436458</v>
      </c>
      <c r="X141" s="26">
        <f t="shared" si="82"/>
        <v>393409</v>
      </c>
    </row>
    <row r="142" spans="1:24" s="57" customFormat="1" ht="16.5" customHeight="1">
      <c r="A142" s="71"/>
      <c r="B142" s="71" t="s">
        <v>95</v>
      </c>
      <c r="C142" s="71"/>
      <c r="D142" s="98">
        <v>48747</v>
      </c>
      <c r="E142" s="88">
        <v>52754</v>
      </c>
      <c r="F142" s="88">
        <v>55565</v>
      </c>
      <c r="G142" s="99">
        <v>51280</v>
      </c>
      <c r="H142" s="98">
        <v>46427</v>
      </c>
      <c r="I142" s="88">
        <v>44896</v>
      </c>
      <c r="J142" s="88">
        <v>49332</v>
      </c>
      <c r="K142" s="99">
        <v>40476</v>
      </c>
      <c r="L142" s="98">
        <v>44608</v>
      </c>
      <c r="M142" s="88">
        <v>43032</v>
      </c>
      <c r="N142" s="88">
        <v>44484</v>
      </c>
      <c r="O142" s="99">
        <v>33439</v>
      </c>
      <c r="P142" s="98">
        <v>33038</v>
      </c>
      <c r="Q142" s="88">
        <v>37315</v>
      </c>
      <c r="R142" s="88">
        <v>39462</v>
      </c>
      <c r="S142" s="99">
        <v>39195</v>
      </c>
      <c r="T142" s="24"/>
      <c r="U142" s="98">
        <f>SUM(D142:G142)</f>
        <v>208346</v>
      </c>
      <c r="V142" s="88">
        <f t="shared" si="80"/>
        <v>181131</v>
      </c>
      <c r="W142" s="88">
        <f t="shared" si="81"/>
        <v>165563</v>
      </c>
      <c r="X142" s="99">
        <f t="shared" si="82"/>
        <v>149010</v>
      </c>
    </row>
    <row r="143" spans="1:24">
      <c r="I143" s="25"/>
      <c r="M143" s="25"/>
      <c r="Q143" s="25"/>
    </row>
    <row r="144" spans="1:24">
      <c r="A144" s="3" t="s">
        <v>112</v>
      </c>
    </row>
    <row r="145" spans="1:1">
      <c r="A145" s="3" t="s">
        <v>113</v>
      </c>
    </row>
  </sheetData>
  <sheetProtection algorithmName="SHA-512" hashValue="BerG8P8ZFsLt884c6JMP6j5BAxihlfxoWLpD3ZDLSw7lxyleMGfwjnuA+MgHESXDdjebGyI3X3xWEJGhVCxC5Q==" saltValue="i26IyjqIvkdHdoO60oq45g==" spinCount="100000" sheet="1" formatCells="0" formatColumns="0" formatRows="0" insertColumns="0" insertRows="0" insertHyperlinks="0" deleteColumns="0" deleteRows="0" selectLockedCells="1" sort="0" autoFilter="0" pivotTables="0"/>
  <dataConsolidate/>
  <phoneticPr fontId="2"/>
  <pageMargins left="0.55118110236220474" right="0.35433070866141736" top="0.51181102362204722" bottom="0.31496062992125984" header="0.51181102362204722" footer="0.51181102362204722"/>
  <pageSetup paperSize="8" scale="36" orientation="portrait" r:id="rId1"/>
  <headerFooter alignWithMargins="0"/>
  <rowBreaks count="1" manualBreakCount="1">
    <brk id="105" max="16383" man="1"/>
  </rowBreaks>
  <ignoredErrors>
    <ignoredError sqref="U8:U19 U50:U56 U58 U112:U131 U138:U142 U20:U21 V8:W8 V19:W21" formulaRange="1"/>
    <ignoredError sqref="U57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40"/>
  <sheetViews>
    <sheetView showGridLines="0" view="pageBreakPreview" zoomScale="85" zoomScaleNormal="100" zoomScaleSheetLayoutView="85" workbookViewId="0">
      <pane xSplit="3" ySplit="6" topLeftCell="E13" activePane="bottomRight" state="frozen"/>
      <selection pane="topRight" activeCell="D1" sqref="D1"/>
      <selection pane="bottomLeft" activeCell="A7" sqref="A7"/>
      <selection pane="bottomRight" activeCell="E13" sqref="E13"/>
    </sheetView>
  </sheetViews>
  <sheetFormatPr defaultColWidth="8.88671875" defaultRowHeight="15" outlineLevelCol="1"/>
  <cols>
    <col min="1" max="2" width="3.6640625" style="3" customWidth="1"/>
    <col min="3" max="3" width="52.6640625" style="3" customWidth="1"/>
    <col min="4" max="19" width="9.88671875" style="3" customWidth="1"/>
    <col min="20" max="22" width="9.88671875" style="3" hidden="1" customWidth="1" outlineLevel="1"/>
    <col min="23" max="23" width="6" style="3" customWidth="1" collapsed="1"/>
    <col min="24" max="27" width="9.88671875" style="3" customWidth="1"/>
    <col min="28" max="28" width="9.88671875" style="3" hidden="1" customWidth="1" outlineLevel="1"/>
    <col min="29" max="29" width="8.88671875" style="3" collapsed="1"/>
    <col min="30" max="16384" width="8.88671875" style="3"/>
  </cols>
  <sheetData>
    <row r="1" spans="1:28">
      <c r="A1" s="1" t="s">
        <v>0</v>
      </c>
      <c r="B1" s="2"/>
      <c r="C1" s="2"/>
    </row>
    <row r="2" spans="1:28">
      <c r="A2" s="4"/>
    </row>
    <row r="3" spans="1:28">
      <c r="A3" s="5"/>
      <c r="B3" s="5"/>
      <c r="C3" s="5"/>
      <c r="D3" s="6"/>
      <c r="E3" s="5"/>
      <c r="F3" s="5"/>
      <c r="G3" s="7"/>
      <c r="H3" s="5"/>
      <c r="I3" s="5"/>
      <c r="J3" s="5"/>
      <c r="K3" s="5"/>
      <c r="L3" s="6"/>
      <c r="M3" s="5"/>
      <c r="N3" s="5"/>
      <c r="O3" s="5"/>
      <c r="P3" s="6"/>
      <c r="Q3" s="5"/>
      <c r="R3" s="5"/>
      <c r="S3" s="7"/>
      <c r="T3" s="5"/>
      <c r="U3" s="5"/>
      <c r="V3" s="7"/>
      <c r="X3" s="5"/>
      <c r="Y3" s="5"/>
      <c r="Z3" s="5"/>
      <c r="AA3" s="5"/>
      <c r="AB3" s="5"/>
    </row>
    <row r="4" spans="1:28">
      <c r="D4" s="8" t="s">
        <v>114</v>
      </c>
      <c r="E4" s="9" t="s">
        <v>115</v>
      </c>
      <c r="F4" s="9"/>
      <c r="G4" s="114" t="s">
        <v>116</v>
      </c>
      <c r="H4" s="9" t="s">
        <v>117</v>
      </c>
      <c r="I4" s="9" t="s">
        <v>2</v>
      </c>
      <c r="J4" s="9"/>
      <c r="K4" s="115" t="s">
        <v>118</v>
      </c>
      <c r="L4" s="8" t="s">
        <v>119</v>
      </c>
      <c r="M4" s="9" t="s">
        <v>2</v>
      </c>
      <c r="N4" s="9" t="s">
        <v>2</v>
      </c>
      <c r="O4" s="9" t="s">
        <v>115</v>
      </c>
      <c r="P4" s="8" t="s">
        <v>120</v>
      </c>
      <c r="Q4" s="9" t="s">
        <v>2</v>
      </c>
      <c r="R4" s="9" t="s">
        <v>2</v>
      </c>
      <c r="S4" s="10" t="s">
        <v>115</v>
      </c>
      <c r="T4" s="9" t="s">
        <v>2</v>
      </c>
      <c r="U4" s="9" t="s">
        <v>2</v>
      </c>
      <c r="V4" s="10" t="s">
        <v>115</v>
      </c>
      <c r="X4" s="11" t="s">
        <v>114</v>
      </c>
      <c r="Y4" s="11" t="s">
        <v>117</v>
      </c>
      <c r="Z4" s="11" t="s">
        <v>119</v>
      </c>
      <c r="AA4" s="11" t="s">
        <v>120</v>
      </c>
      <c r="AB4" s="11" t="s">
        <v>121</v>
      </c>
    </row>
    <row r="5" spans="1:28" ht="19.649999999999999" customHeight="1">
      <c r="D5" s="12" t="s">
        <v>9</v>
      </c>
      <c r="E5" s="13" t="s">
        <v>10</v>
      </c>
      <c r="F5" s="13" t="s">
        <v>11</v>
      </c>
      <c r="G5" s="14" t="s">
        <v>12</v>
      </c>
      <c r="H5" s="13" t="s">
        <v>9</v>
      </c>
      <c r="I5" s="13" t="s">
        <v>10</v>
      </c>
      <c r="J5" s="13" t="s">
        <v>11</v>
      </c>
      <c r="K5" s="13" t="s">
        <v>12</v>
      </c>
      <c r="L5" s="12" t="s">
        <v>122</v>
      </c>
      <c r="M5" s="13" t="s">
        <v>10</v>
      </c>
      <c r="N5" s="13" t="s">
        <v>11</v>
      </c>
      <c r="O5" s="13" t="s">
        <v>12</v>
      </c>
      <c r="P5" s="12" t="s">
        <v>9</v>
      </c>
      <c r="Q5" s="13" t="s">
        <v>10</v>
      </c>
      <c r="R5" s="13" t="s">
        <v>11</v>
      </c>
      <c r="S5" s="14" t="s">
        <v>12</v>
      </c>
      <c r="T5" s="13" t="s">
        <v>10</v>
      </c>
      <c r="U5" s="13" t="s">
        <v>11</v>
      </c>
      <c r="V5" s="14" t="s">
        <v>12</v>
      </c>
      <c r="X5" s="15" t="s">
        <v>116</v>
      </c>
      <c r="Y5" s="15" t="s">
        <v>118</v>
      </c>
      <c r="Z5" s="15" t="s">
        <v>116</v>
      </c>
      <c r="AA5" s="15"/>
      <c r="AB5" s="15"/>
    </row>
    <row r="6" spans="1:28" s="19" customFormat="1" collapsed="1">
      <c r="A6" s="16" t="s">
        <v>13</v>
      </c>
      <c r="B6" s="17"/>
      <c r="C6" s="17"/>
      <c r="D6" s="18"/>
      <c r="G6" s="20"/>
      <c r="L6" s="18"/>
      <c r="P6" s="18"/>
      <c r="S6" s="20"/>
      <c r="V6" s="20"/>
    </row>
    <row r="7" spans="1:28" s="19" customFormat="1">
      <c r="D7" s="21"/>
      <c r="E7" s="22"/>
      <c r="F7" s="22"/>
      <c r="G7" s="23"/>
      <c r="H7" s="22"/>
      <c r="I7" s="22"/>
      <c r="J7" s="22"/>
      <c r="K7" s="22"/>
      <c r="L7" s="21"/>
      <c r="M7" s="22"/>
      <c r="N7" s="22"/>
      <c r="O7" s="22"/>
      <c r="P7" s="21"/>
      <c r="Q7" s="22"/>
      <c r="R7" s="22"/>
      <c r="S7" s="23"/>
      <c r="T7" s="22"/>
      <c r="U7" s="22"/>
      <c r="V7" s="23"/>
      <c r="X7" s="22"/>
      <c r="Y7" s="22"/>
      <c r="Z7" s="22"/>
      <c r="AA7" s="22"/>
      <c r="AB7" s="22"/>
    </row>
    <row r="8" spans="1:28" ht="19.649999999999999" customHeight="1">
      <c r="A8" s="3" t="s">
        <v>14</v>
      </c>
      <c r="D8" s="25">
        <v>492895</v>
      </c>
      <c r="E8" s="25">
        <v>505706</v>
      </c>
      <c r="F8" s="25">
        <v>521138</v>
      </c>
      <c r="G8" s="26">
        <v>588736</v>
      </c>
      <c r="H8" s="25">
        <v>506566</v>
      </c>
      <c r="I8" s="25">
        <v>526047</v>
      </c>
      <c r="J8" s="25">
        <v>538887</v>
      </c>
      <c r="K8" s="25">
        <v>579904</v>
      </c>
      <c r="L8" s="24">
        <v>539175</v>
      </c>
      <c r="M8" s="25">
        <v>556003</v>
      </c>
      <c r="N8" s="25">
        <v>548678</v>
      </c>
      <c r="O8" s="25">
        <v>565172</v>
      </c>
      <c r="P8" s="24">
        <v>487706</v>
      </c>
      <c r="Q8" s="25">
        <v>483737</v>
      </c>
      <c r="R8" s="25">
        <v>497983</v>
      </c>
      <c r="S8" s="26">
        <v>559473</v>
      </c>
      <c r="T8" s="25"/>
      <c r="U8" s="25"/>
      <c r="V8" s="26"/>
      <c r="W8" s="27"/>
      <c r="X8" s="28">
        <v>2108475</v>
      </c>
      <c r="Y8" s="28">
        <f>Y48</f>
        <v>2151404</v>
      </c>
      <c r="Z8" s="28">
        <v>2209028</v>
      </c>
      <c r="AA8" s="28">
        <f>SUM(P8:S8)</f>
        <v>2028899</v>
      </c>
      <c r="AB8" s="28">
        <f>SUM(T8:V8)</f>
        <v>0</v>
      </c>
    </row>
    <row r="9" spans="1:28" ht="19.649999999999999" customHeight="1">
      <c r="A9" s="29" t="s">
        <v>15</v>
      </c>
      <c r="B9" s="29"/>
      <c r="C9" s="29"/>
      <c r="D9" s="31">
        <v>22239</v>
      </c>
      <c r="E9" s="31">
        <v>29694</v>
      </c>
      <c r="F9" s="31">
        <v>26468</v>
      </c>
      <c r="G9" s="32">
        <v>41944</v>
      </c>
      <c r="H9" s="31">
        <v>27169</v>
      </c>
      <c r="I9" s="31">
        <v>28699</v>
      </c>
      <c r="J9" s="31">
        <v>30221</v>
      </c>
      <c r="K9" s="31">
        <f t="shared" ref="K9" si="0">K52</f>
        <v>29676</v>
      </c>
      <c r="L9" s="30">
        <v>20673</v>
      </c>
      <c r="M9" s="31">
        <v>35445</v>
      </c>
      <c r="N9" s="31">
        <v>29342</v>
      </c>
      <c r="O9" s="31">
        <v>16835</v>
      </c>
      <c r="P9" s="30">
        <v>10870</v>
      </c>
      <c r="Q9" s="31">
        <v>5680</v>
      </c>
      <c r="R9" s="31">
        <v>12025</v>
      </c>
      <c r="S9" s="32">
        <v>5305</v>
      </c>
      <c r="T9" s="31"/>
      <c r="U9" s="31"/>
      <c r="V9" s="32"/>
      <c r="W9" s="27"/>
      <c r="X9" s="31">
        <v>120345</v>
      </c>
      <c r="Y9" s="31">
        <f>Y52</f>
        <v>115765</v>
      </c>
      <c r="Z9" s="31">
        <v>102295</v>
      </c>
      <c r="AA9" s="31">
        <f>AA52</f>
        <v>33880</v>
      </c>
      <c r="AB9" s="31">
        <f>AB52</f>
        <v>0</v>
      </c>
    </row>
    <row r="10" spans="1:28" s="19" customFormat="1" ht="16.5" customHeight="1">
      <c r="B10" s="19" t="s">
        <v>16</v>
      </c>
      <c r="D10" s="33">
        <v>4.5119143022347562E-2</v>
      </c>
      <c r="E10" s="34">
        <v>5.8717911197415096E-2</v>
      </c>
      <c r="F10" s="34">
        <v>5.0788850553979942E-2</v>
      </c>
      <c r="G10" s="35">
        <v>7.1244156973584091E-2</v>
      </c>
      <c r="H10" s="34">
        <f t="shared" ref="H10:K10" si="1">H52/H48</f>
        <v>5.3633682481650957E-2</v>
      </c>
      <c r="I10" s="34">
        <f t="shared" si="1"/>
        <v>5.4555961729655336E-2</v>
      </c>
      <c r="J10" s="34">
        <f t="shared" si="1"/>
        <v>5.6080402756050897E-2</v>
      </c>
      <c r="K10" s="34">
        <f t="shared" si="1"/>
        <v>5.1173987418607216E-2</v>
      </c>
      <c r="L10" s="33">
        <f>L52/L48</f>
        <v>3.8341911253303655E-2</v>
      </c>
      <c r="M10" s="34">
        <f>M52/M48</f>
        <v>6.374965602703582E-2</v>
      </c>
      <c r="N10" s="34">
        <f>N52/N48</f>
        <v>5.3477631689260369E-2</v>
      </c>
      <c r="O10" s="34">
        <v>2.978739215672397E-2</v>
      </c>
      <c r="P10" s="33">
        <f>P52/P48</f>
        <v>2.2288017781204251E-2</v>
      </c>
      <c r="Q10" s="34">
        <f>Q52/Q48</f>
        <v>1.1741917612256247E-2</v>
      </c>
      <c r="R10" s="34">
        <f>R52/R48</f>
        <v>2.4147410654580578E-2</v>
      </c>
      <c r="S10" s="35">
        <v>2.978739215672397E-2</v>
      </c>
      <c r="T10" s="34" t="e">
        <f>T52/T48</f>
        <v>#DIV/0!</v>
      </c>
      <c r="U10" s="34" t="e">
        <f>U52/U48</f>
        <v>#DIV/0!</v>
      </c>
      <c r="V10" s="35">
        <v>2.978739215672397E-2</v>
      </c>
      <c r="X10" s="34">
        <v>5.7076797211254582E-2</v>
      </c>
      <c r="Y10" s="34">
        <f>Y52/Y48</f>
        <v>5.3809047487129336E-2</v>
      </c>
      <c r="Z10" s="34">
        <v>4.6307697322080121E-2</v>
      </c>
      <c r="AA10" s="34">
        <f>AA52/AA48</f>
        <v>1.6698711961512132E-2</v>
      </c>
      <c r="AB10" s="34" t="e">
        <f>AB52/AB48</f>
        <v>#DIV/0!</v>
      </c>
    </row>
    <row r="11" spans="1:28" ht="19.649999999999999" customHeight="1" collapsed="1">
      <c r="A11" s="5" t="s">
        <v>17</v>
      </c>
      <c r="B11" s="5"/>
      <c r="C11" s="5"/>
      <c r="D11" s="37">
        <v>11705</v>
      </c>
      <c r="E11" s="37">
        <v>16387</v>
      </c>
      <c r="F11" s="37">
        <v>15323</v>
      </c>
      <c r="G11" s="38">
        <v>29403</v>
      </c>
      <c r="H11" s="37">
        <v>15081</v>
      </c>
      <c r="I11" s="37">
        <v>18898</v>
      </c>
      <c r="J11" s="37">
        <v>18372</v>
      </c>
      <c r="K11" s="37">
        <f>K60</f>
        <v>16211</v>
      </c>
      <c r="L11" s="36">
        <v>12986</v>
      </c>
      <c r="M11" s="37">
        <v>21557</v>
      </c>
      <c r="N11" s="37">
        <v>16872</v>
      </c>
      <c r="O11" s="37">
        <v>11560</v>
      </c>
      <c r="P11" s="36">
        <v>4771</v>
      </c>
      <c r="Q11" s="37">
        <v>231</v>
      </c>
      <c r="R11" s="37">
        <v>-888</v>
      </c>
      <c r="S11" s="38">
        <v>-625</v>
      </c>
      <c r="T11" s="37"/>
      <c r="U11" s="37"/>
      <c r="V11" s="38"/>
      <c r="W11" s="27"/>
      <c r="X11" s="37">
        <v>72818</v>
      </c>
      <c r="Y11" s="37">
        <f>Y60</f>
        <v>68562</v>
      </c>
      <c r="Z11" s="37">
        <v>62975</v>
      </c>
      <c r="AA11" s="37">
        <f>AA60</f>
        <v>3489</v>
      </c>
      <c r="AB11" s="37">
        <f>AB60</f>
        <v>0</v>
      </c>
    </row>
    <row r="12" spans="1:28" s="19" customFormat="1" ht="16.5" customHeight="1" thickBot="1">
      <c r="A12" s="39"/>
      <c r="B12" s="39" t="s">
        <v>16</v>
      </c>
      <c r="C12" s="39"/>
      <c r="D12" s="40">
        <v>2.3747451282727559E-2</v>
      </c>
      <c r="E12" s="41">
        <v>3.2404203232708331E-2</v>
      </c>
      <c r="F12" s="41">
        <v>2.9402960444258528E-2</v>
      </c>
      <c r="G12" s="42">
        <v>4.9942588868355259E-2</v>
      </c>
      <c r="H12" s="41">
        <f t="shared" ref="H12:K12" si="2">H11/H48</f>
        <v>2.977104661584078E-2</v>
      </c>
      <c r="I12" s="41">
        <f t="shared" si="2"/>
        <v>3.592454666598232E-2</v>
      </c>
      <c r="J12" s="41">
        <f t="shared" si="2"/>
        <v>3.4092490633472326E-2</v>
      </c>
      <c r="K12" s="41">
        <f t="shared" si="2"/>
        <v>2.7954626972740315E-2</v>
      </c>
      <c r="L12" s="40">
        <f t="shared" ref="L12" si="3">L11/L48</f>
        <v>2.4084944591273704E-2</v>
      </c>
      <c r="M12" s="41">
        <f t="shared" ref="M12:N12" si="4">M11/M48</f>
        <v>3.8771373535754307E-2</v>
      </c>
      <c r="N12" s="41">
        <f t="shared" si="4"/>
        <v>3.0750276118233281E-2</v>
      </c>
      <c r="O12" s="41">
        <v>2.0453950301855012E-2</v>
      </c>
      <c r="P12" s="40">
        <f t="shared" ref="P12:S12" si="5">P11/P48</f>
        <v>9.7825329194227671E-3</v>
      </c>
      <c r="Q12" s="41">
        <f t="shared" si="5"/>
        <v>4.7753221275197058E-4</v>
      </c>
      <c r="R12" s="41">
        <f t="shared" si="5"/>
        <v>-1.7831934021844118E-3</v>
      </c>
      <c r="S12" s="42">
        <f t="shared" si="5"/>
        <v>-1.1171227208462248E-3</v>
      </c>
      <c r="T12" s="41" t="e">
        <f t="shared" ref="T12:V12" si="6">T11/T48</f>
        <v>#DIV/0!</v>
      </c>
      <c r="U12" s="41" t="e">
        <f t="shared" si="6"/>
        <v>#DIV/0!</v>
      </c>
      <c r="V12" s="42" t="e">
        <f t="shared" si="6"/>
        <v>#DIV/0!</v>
      </c>
      <c r="X12" s="41">
        <v>3.4535861226715994E-2</v>
      </c>
      <c r="Y12" s="41">
        <f>Y60/Y48</f>
        <v>3.1868491459530614E-2</v>
      </c>
      <c r="Z12" s="41">
        <v>2.8508013479231591E-2</v>
      </c>
      <c r="AA12" s="41">
        <f>AA60/AA48</f>
        <v>1.7196518900152249E-3</v>
      </c>
      <c r="AB12" s="41" t="e">
        <f>AB60/AB48</f>
        <v>#DIV/0!</v>
      </c>
    </row>
    <row r="13" spans="1:28" ht="18.75" customHeight="1" thickBot="1">
      <c r="A13" s="43" t="s">
        <v>18</v>
      </c>
      <c r="B13" s="44"/>
      <c r="C13" s="44"/>
      <c r="D13" s="46">
        <v>-4452</v>
      </c>
      <c r="E13" s="46">
        <v>-6365</v>
      </c>
      <c r="F13" s="46">
        <v>-15935</v>
      </c>
      <c r="G13" s="47">
        <v>50708</v>
      </c>
      <c r="H13" s="46">
        <v>-7148</v>
      </c>
      <c r="I13" s="46">
        <f>I111</f>
        <v>-36193</v>
      </c>
      <c r="J13" s="46">
        <f>J111</f>
        <v>-31584</v>
      </c>
      <c r="K13" s="46">
        <f>K111</f>
        <v>34012</v>
      </c>
      <c r="L13" s="45">
        <v>-7148</v>
      </c>
      <c r="M13" s="46">
        <f>M111</f>
        <v>39709</v>
      </c>
      <c r="N13" s="46">
        <v>-51772</v>
      </c>
      <c r="O13" s="46">
        <v>37953</v>
      </c>
      <c r="P13" s="45">
        <f>P111</f>
        <v>1716</v>
      </c>
      <c r="Q13" s="46">
        <f>Q111</f>
        <v>-27235</v>
      </c>
      <c r="R13" s="46">
        <f t="shared" ref="R13:S13" si="7">R111</f>
        <v>-13495</v>
      </c>
      <c r="S13" s="47">
        <f t="shared" si="7"/>
        <v>20598</v>
      </c>
      <c r="T13" s="46">
        <f>T111</f>
        <v>0</v>
      </c>
      <c r="U13" s="46">
        <f t="shared" ref="U13:V13" si="8">U111</f>
        <v>0</v>
      </c>
      <c r="V13" s="47">
        <f t="shared" si="8"/>
        <v>0</v>
      </c>
      <c r="W13" s="27"/>
      <c r="X13" s="46">
        <v>23956</v>
      </c>
      <c r="Y13" s="46">
        <f>Y111</f>
        <v>-40913</v>
      </c>
      <c r="Z13" s="46">
        <v>-4280</v>
      </c>
      <c r="AA13" s="46">
        <f>AA111</f>
        <v>-18416</v>
      </c>
      <c r="AB13" s="46">
        <f>AB111</f>
        <v>0</v>
      </c>
    </row>
    <row r="14" spans="1:28" s="48" customFormat="1" ht="16.5" customHeight="1">
      <c r="B14" s="48" t="s">
        <v>19</v>
      </c>
      <c r="D14" s="49"/>
      <c r="E14" s="50"/>
      <c r="F14" s="50"/>
      <c r="G14" s="51"/>
      <c r="H14" s="116"/>
      <c r="I14" s="50"/>
      <c r="J14" s="50"/>
      <c r="K14" s="50"/>
      <c r="L14" s="49"/>
      <c r="M14" s="50"/>
      <c r="N14" s="50"/>
      <c r="O14" s="50"/>
      <c r="P14" s="49"/>
      <c r="Q14" s="50"/>
      <c r="R14" s="50"/>
      <c r="S14" s="51"/>
      <c r="T14" s="50"/>
      <c r="U14" s="50"/>
      <c r="V14" s="51"/>
      <c r="X14" s="34">
        <v>7.4999999999999997E-2</v>
      </c>
      <c r="Y14" s="34">
        <f>Y60/((1029413+Y96)/2)</f>
        <v>6.4877601037102925E-2</v>
      </c>
      <c r="Z14" s="34">
        <v>5.9770522952924843E-2</v>
      </c>
      <c r="AA14" s="34">
        <f>AA60/((1029413+AA96)/2)</f>
        <v>3.3685426008643899E-3</v>
      </c>
      <c r="AB14" s="34">
        <f>AB60/((AA96+AB96)/2)</f>
        <v>0</v>
      </c>
    </row>
    <row r="15" spans="1:28" s="53" customFormat="1" ht="16.5" customHeight="1">
      <c r="B15" s="53" t="s">
        <v>20</v>
      </c>
      <c r="D15" s="117"/>
      <c r="E15" s="50"/>
      <c r="F15" s="50"/>
      <c r="G15" s="51"/>
      <c r="H15" s="34">
        <f>H96/H99</f>
        <v>0.40014130255764668</v>
      </c>
      <c r="I15" s="34">
        <f>I96/I99</f>
        <v>0.40432092082806759</v>
      </c>
      <c r="J15" s="34">
        <f t="shared" ref="J15:K15" si="9">J96/J99</f>
        <v>0.40355378608381781</v>
      </c>
      <c r="K15" s="34">
        <f t="shared" si="9"/>
        <v>0.39710065940055095</v>
      </c>
      <c r="L15" s="33">
        <f>L96/L99</f>
        <v>0.3959169797523846</v>
      </c>
      <c r="M15" s="34">
        <f>M96/M99</f>
        <v>0.39326772975017715</v>
      </c>
      <c r="N15" s="34">
        <f>N96/N99</f>
        <v>0.39709096635535091</v>
      </c>
      <c r="O15" s="34">
        <v>0.38819670076403018</v>
      </c>
      <c r="P15" s="33">
        <f>P96/P99</f>
        <v>0.3725554674424596</v>
      </c>
      <c r="Q15" s="34">
        <f>Q96/Q99</f>
        <v>0.36899990554192613</v>
      </c>
      <c r="R15" s="34">
        <f>R96/R99</f>
        <v>0.37266491375728156</v>
      </c>
      <c r="S15" s="35">
        <v>0.38819670076403018</v>
      </c>
      <c r="T15" s="34" t="e">
        <f>T96/T99</f>
        <v>#DIV/0!</v>
      </c>
      <c r="U15" s="34" t="e">
        <f>U96/U99</f>
        <v>#DIV/0!</v>
      </c>
      <c r="V15" s="35">
        <v>0.38819670076403018</v>
      </c>
      <c r="X15" s="34">
        <v>0.39644375876621052</v>
      </c>
      <c r="Y15" s="34">
        <f>Y96/Y99</f>
        <v>0.39710065940055095</v>
      </c>
      <c r="Z15" s="34">
        <v>0.38819670076403018</v>
      </c>
      <c r="AA15" s="34">
        <f>AA96/AA99</f>
        <v>0.37767220300026783</v>
      </c>
      <c r="AB15" s="34" t="e">
        <f>AB96/AB99</f>
        <v>#DIV/0!</v>
      </c>
    </row>
    <row r="16" spans="1:28" ht="19.649999999999999" customHeight="1" collapsed="1">
      <c r="B16" s="3" t="s">
        <v>21</v>
      </c>
      <c r="D16" s="25"/>
      <c r="E16" s="25"/>
      <c r="F16" s="25"/>
      <c r="G16" s="26"/>
      <c r="H16" s="25">
        <v>723275</v>
      </c>
      <c r="I16" s="25">
        <f>I83+I87</f>
        <v>773686</v>
      </c>
      <c r="J16" s="25">
        <f>J83+J87</f>
        <v>819897</v>
      </c>
      <c r="K16" s="25">
        <f>K83+K87</f>
        <v>790580</v>
      </c>
      <c r="L16" s="24">
        <v>844151</v>
      </c>
      <c r="M16" s="25">
        <v>837141</v>
      </c>
      <c r="N16" s="25">
        <v>885460</v>
      </c>
      <c r="O16" s="25">
        <v>852800</v>
      </c>
      <c r="P16" s="24">
        <v>881459</v>
      </c>
      <c r="Q16" s="25">
        <v>905860</v>
      </c>
      <c r="R16" s="25">
        <v>944999</v>
      </c>
      <c r="S16" s="26">
        <v>859743</v>
      </c>
      <c r="T16" s="25"/>
      <c r="U16" s="25"/>
      <c r="V16" s="26"/>
      <c r="W16" s="27"/>
      <c r="X16" s="25">
        <v>724164</v>
      </c>
      <c r="Y16" s="25">
        <f>Y83+Y87</f>
        <v>790580</v>
      </c>
      <c r="Z16" s="25">
        <v>852800</v>
      </c>
      <c r="AA16" s="25">
        <f>AA83+AA87</f>
        <v>859743</v>
      </c>
      <c r="AB16" s="25">
        <f>AB83+AB87</f>
        <v>0</v>
      </c>
    </row>
    <row r="17" spans="1:28" ht="14.4" customHeight="1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7"/>
      <c r="X17" s="25"/>
      <c r="Y17" s="25"/>
      <c r="Z17" s="25"/>
      <c r="AA17" s="25"/>
      <c r="AB17" s="25"/>
    </row>
    <row r="18" spans="1:28" s="19" customFormat="1" ht="16.5" customHeight="1">
      <c r="A18" s="54" t="s">
        <v>22</v>
      </c>
      <c r="B18" s="17"/>
      <c r="C18" s="1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6"/>
      <c r="X18" s="55"/>
      <c r="Y18" s="55"/>
      <c r="Z18" s="55"/>
      <c r="AA18" s="55"/>
      <c r="AB18" s="55"/>
    </row>
    <row r="19" spans="1:28" s="19" customFormat="1" ht="16.5" customHeight="1">
      <c r="A19" s="57"/>
      <c r="B19" s="57" t="s">
        <v>23</v>
      </c>
      <c r="C19" s="57"/>
      <c r="D19" s="58">
        <v>28092</v>
      </c>
      <c r="E19" s="27">
        <v>29546</v>
      </c>
      <c r="F19" s="27">
        <v>29183</v>
      </c>
      <c r="G19" s="27">
        <v>29401</v>
      </c>
      <c r="H19" s="58">
        <v>27936</v>
      </c>
      <c r="I19" s="27">
        <v>30203</v>
      </c>
      <c r="J19" s="27">
        <v>28682</v>
      </c>
      <c r="K19" s="27">
        <v>31961</v>
      </c>
      <c r="L19" s="58">
        <v>27050</v>
      </c>
      <c r="M19" s="27">
        <v>30675</v>
      </c>
      <c r="N19" s="27">
        <v>28786</v>
      </c>
      <c r="O19" s="27">
        <v>32072</v>
      </c>
      <c r="P19" s="58">
        <v>26865</v>
      </c>
      <c r="Q19" s="59">
        <v>30268</v>
      </c>
      <c r="R19" s="59">
        <v>26644</v>
      </c>
      <c r="S19" s="60">
        <v>30621</v>
      </c>
      <c r="T19" s="59"/>
      <c r="U19" s="59"/>
      <c r="V19" s="60"/>
      <c r="W19" s="25"/>
      <c r="X19" s="25">
        <f>SUM(D19:G19)</f>
        <v>116222</v>
      </c>
      <c r="Y19" s="25">
        <f>SUM(H19:K19)</f>
        <v>118782</v>
      </c>
      <c r="Z19" s="25">
        <f>SUM(L19:O19)</f>
        <v>118583</v>
      </c>
      <c r="AA19" s="25">
        <f>SUM(P19:S19)</f>
        <v>114398</v>
      </c>
      <c r="AB19" s="25">
        <f>SUM(T19:V19)</f>
        <v>0</v>
      </c>
    </row>
    <row r="20" spans="1:28" s="57" customFormat="1" ht="16.5" customHeight="1">
      <c r="B20" s="57" t="s">
        <v>24</v>
      </c>
      <c r="D20" s="61">
        <v>14475</v>
      </c>
      <c r="E20" s="27">
        <v>16087</v>
      </c>
      <c r="F20" s="27">
        <v>22768</v>
      </c>
      <c r="G20" s="27">
        <v>9975</v>
      </c>
      <c r="H20" s="61">
        <v>17440</v>
      </c>
      <c r="I20" s="27">
        <v>18347</v>
      </c>
      <c r="J20" s="27">
        <v>17543</v>
      </c>
      <c r="K20" s="27">
        <v>17594</v>
      </c>
      <c r="L20" s="61">
        <v>17315</v>
      </c>
      <c r="M20" s="27">
        <v>17218</v>
      </c>
      <c r="N20" s="27">
        <v>17999</v>
      </c>
      <c r="O20" s="27">
        <v>16208</v>
      </c>
      <c r="P20" s="61">
        <v>16366</v>
      </c>
      <c r="Q20" s="27">
        <v>16748</v>
      </c>
      <c r="R20" s="27">
        <v>17065</v>
      </c>
      <c r="S20" s="62">
        <v>17828</v>
      </c>
      <c r="T20" s="27"/>
      <c r="U20" s="27"/>
      <c r="V20" s="62"/>
      <c r="W20" s="25"/>
      <c r="X20" s="25">
        <f>SUM(D20:G20)</f>
        <v>63305</v>
      </c>
      <c r="Y20" s="25">
        <f>SUM(H20:K20)</f>
        <v>70924</v>
      </c>
      <c r="Z20" s="25">
        <f>SUM(L20:O20)</f>
        <v>68740</v>
      </c>
      <c r="AA20" s="25">
        <f>SUM(P20:S20)</f>
        <v>68007</v>
      </c>
      <c r="AB20" s="25">
        <f>SUM(T20:V20)</f>
        <v>0</v>
      </c>
    </row>
    <row r="21" spans="1:28" s="57" customFormat="1" ht="17.25" customHeight="1">
      <c r="B21" s="57" t="s">
        <v>25</v>
      </c>
      <c r="D21" s="61">
        <v>16669</v>
      </c>
      <c r="E21" s="27">
        <v>18876</v>
      </c>
      <c r="F21" s="27">
        <v>19393</v>
      </c>
      <c r="G21" s="27">
        <v>18055</v>
      </c>
      <c r="H21" s="61">
        <v>18251</v>
      </c>
      <c r="I21" s="27">
        <v>20404</v>
      </c>
      <c r="J21" s="27">
        <v>16283</v>
      </c>
      <c r="K21" s="27">
        <v>21038</v>
      </c>
      <c r="L21" s="61">
        <v>20596</v>
      </c>
      <c r="M21" s="27">
        <v>20325</v>
      </c>
      <c r="N21" s="27">
        <v>20701</v>
      </c>
      <c r="O21" s="27">
        <v>22156</v>
      </c>
      <c r="P21" s="61">
        <v>16056</v>
      </c>
      <c r="Q21" s="27">
        <v>19868</v>
      </c>
      <c r="R21" s="27">
        <v>17125</v>
      </c>
      <c r="S21" s="62">
        <v>22398</v>
      </c>
      <c r="T21" s="27"/>
      <c r="U21" s="27"/>
      <c r="V21" s="62"/>
      <c r="W21" s="25"/>
      <c r="X21" s="25">
        <f>SUM(D21:G21)</f>
        <v>72993</v>
      </c>
      <c r="Y21" s="25">
        <f>SUM(H21:K21)</f>
        <v>75976</v>
      </c>
      <c r="Z21" s="25">
        <f>SUM(L21:O21)</f>
        <v>83778</v>
      </c>
      <c r="AA21" s="25">
        <f>SUM(P21:S21)</f>
        <v>75447</v>
      </c>
      <c r="AB21" s="25">
        <f>SUM(T21:V21)</f>
        <v>0</v>
      </c>
    </row>
    <row r="22" spans="1:28" s="57" customFormat="1" ht="14.4" customHeight="1"/>
    <row r="23" spans="1:28" s="19" customFormat="1" ht="15" customHeight="1">
      <c r="A23" s="63" t="s">
        <v>26</v>
      </c>
    </row>
    <row r="24" spans="1:28" s="57" customFormat="1" ht="16.5" customHeight="1">
      <c r="A24" s="64"/>
      <c r="B24" s="64" t="s">
        <v>27</v>
      </c>
      <c r="C24" s="64"/>
      <c r="D24" s="65">
        <v>37.5</v>
      </c>
      <c r="E24" s="66">
        <v>37.299999999999997</v>
      </c>
      <c r="F24" s="66">
        <v>37.1</v>
      </c>
      <c r="G24" s="66">
        <v>36.799999999999997</v>
      </c>
      <c r="H24" s="65">
        <v>37.299999999999997</v>
      </c>
      <c r="I24" s="66">
        <v>36.9</v>
      </c>
      <c r="J24" s="66">
        <v>36.700000000000003</v>
      </c>
      <c r="K24" s="66">
        <v>36.299999999999997</v>
      </c>
      <c r="L24" s="65">
        <v>36.6</v>
      </c>
      <c r="M24" s="66">
        <v>36.299999999999997</v>
      </c>
      <c r="N24" s="66">
        <v>36.1</v>
      </c>
      <c r="O24" s="66">
        <v>35.700000000000003</v>
      </c>
      <c r="P24" s="65">
        <v>36.299999999999997</v>
      </c>
      <c r="Q24" s="66">
        <v>36.1</v>
      </c>
      <c r="R24" s="66">
        <v>35.799999999999997</v>
      </c>
      <c r="S24" s="67">
        <v>35.4</v>
      </c>
      <c r="T24" s="66"/>
      <c r="U24" s="66"/>
      <c r="V24" s="67"/>
      <c r="W24" s="68"/>
      <c r="X24" s="66">
        <v>36.799999999999997</v>
      </c>
      <c r="Y24" s="66">
        <f>K24</f>
        <v>36.299999999999997</v>
      </c>
      <c r="Z24" s="66">
        <v>35.700000000000003</v>
      </c>
      <c r="AA24" s="66">
        <f>S24</f>
        <v>35.4</v>
      </c>
      <c r="AB24" s="66">
        <f>V24</f>
        <v>0</v>
      </c>
    </row>
    <row r="25" spans="1:28" s="57" customFormat="1" ht="16.5" customHeight="1">
      <c r="B25" s="57" t="s">
        <v>28</v>
      </c>
      <c r="D25" s="69">
        <v>70.5</v>
      </c>
      <c r="E25" s="68">
        <v>71.400000000000006</v>
      </c>
      <c r="F25" s="68">
        <v>71.2</v>
      </c>
      <c r="G25" s="68">
        <v>71.3</v>
      </c>
      <c r="H25" s="69">
        <v>72</v>
      </c>
      <c r="I25" s="68">
        <v>73</v>
      </c>
      <c r="J25" s="68">
        <v>73.400000000000006</v>
      </c>
      <c r="K25" s="68">
        <v>73.5</v>
      </c>
      <c r="L25" s="69">
        <v>73</v>
      </c>
      <c r="M25" s="68">
        <v>74</v>
      </c>
      <c r="N25" s="68">
        <v>74.3</v>
      </c>
      <c r="O25" s="68">
        <v>73.5</v>
      </c>
      <c r="P25" s="69">
        <v>73</v>
      </c>
      <c r="Q25" s="68">
        <v>73</v>
      </c>
      <c r="R25" s="68">
        <v>72</v>
      </c>
      <c r="S25" s="70">
        <v>70.099999999999994</v>
      </c>
      <c r="T25" s="68"/>
      <c r="U25" s="68"/>
      <c r="V25" s="70"/>
      <c r="W25" s="68"/>
      <c r="X25" s="68">
        <v>71.3</v>
      </c>
      <c r="Y25" s="68">
        <f>K25</f>
        <v>73.5</v>
      </c>
      <c r="Z25" s="68">
        <v>73.5</v>
      </c>
      <c r="AA25" s="68">
        <f>S25</f>
        <v>70.099999999999994</v>
      </c>
      <c r="AB25" s="68">
        <f t="shared" ref="AB25:AB26" si="10">V25</f>
        <v>0</v>
      </c>
    </row>
    <row r="26" spans="1:28" s="57" customFormat="1" ht="16.5" customHeight="1">
      <c r="A26" s="71"/>
      <c r="B26" s="71" t="s">
        <v>29</v>
      </c>
      <c r="C26" s="71"/>
      <c r="D26" s="72">
        <v>108</v>
      </c>
      <c r="E26" s="73">
        <v>108.7</v>
      </c>
      <c r="F26" s="73">
        <v>108.3</v>
      </c>
      <c r="G26" s="73">
        <v>108.1</v>
      </c>
      <c r="H26" s="72">
        <v>109.3</v>
      </c>
      <c r="I26" s="73">
        <v>109.9</v>
      </c>
      <c r="J26" s="73">
        <v>110.2</v>
      </c>
      <c r="K26" s="73">
        <v>109.9</v>
      </c>
      <c r="L26" s="72">
        <v>109.7</v>
      </c>
      <c r="M26" s="73">
        <v>110.3</v>
      </c>
      <c r="N26" s="73">
        <v>110.5</v>
      </c>
      <c r="O26" s="73">
        <v>109.3</v>
      </c>
      <c r="P26" s="72">
        <v>109.3</v>
      </c>
      <c r="Q26" s="73">
        <v>109.1</v>
      </c>
      <c r="R26" s="73">
        <v>107.9</v>
      </c>
      <c r="S26" s="74">
        <v>105.6</v>
      </c>
      <c r="T26" s="73"/>
      <c r="U26" s="73"/>
      <c r="V26" s="74"/>
      <c r="W26" s="68"/>
      <c r="X26" s="73">
        <v>108.1</v>
      </c>
      <c r="Y26" s="73">
        <f>K26</f>
        <v>109.9</v>
      </c>
      <c r="Z26" s="73">
        <v>109.3</v>
      </c>
      <c r="AA26" s="73">
        <f>S26</f>
        <v>105.6</v>
      </c>
      <c r="AB26" s="73">
        <f t="shared" si="10"/>
        <v>0</v>
      </c>
    </row>
    <row r="30" spans="1:28" s="19" customFormat="1" collapsed="1">
      <c r="A30" s="75" t="s">
        <v>30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X30" s="77"/>
      <c r="Y30" s="77"/>
      <c r="Z30" s="77"/>
      <c r="AA30" s="77"/>
      <c r="AB30" s="77"/>
    </row>
    <row r="31" spans="1:28" s="19" customFormat="1">
      <c r="A31" s="16"/>
      <c r="B31" s="17"/>
      <c r="C31" s="1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X31" s="78"/>
      <c r="Y31" s="78"/>
      <c r="Z31" s="78"/>
      <c r="AA31" s="78"/>
      <c r="AB31" s="78"/>
    </row>
    <row r="32" spans="1:28">
      <c r="A32" s="5"/>
      <c r="B32" s="5"/>
      <c r="C32" s="5"/>
      <c r="D32" s="6"/>
      <c r="E32" s="5"/>
      <c r="F32" s="5"/>
      <c r="G32" s="5"/>
      <c r="H32" s="6"/>
      <c r="I32" s="5"/>
      <c r="J32" s="5"/>
      <c r="K32" s="5"/>
      <c r="L32" s="6"/>
      <c r="M32" s="5"/>
      <c r="N32" s="5"/>
      <c r="O32" s="5"/>
      <c r="P32" s="6"/>
      <c r="Q32" s="5"/>
      <c r="R32" s="5"/>
      <c r="S32" s="7"/>
      <c r="T32" s="5"/>
      <c r="U32" s="5"/>
      <c r="V32" s="7"/>
      <c r="X32" s="5"/>
      <c r="Y32" s="5"/>
      <c r="Z32" s="5"/>
      <c r="AA32" s="5"/>
      <c r="AB32" s="5"/>
    </row>
    <row r="33" spans="1:28">
      <c r="D33" s="8" t="str">
        <f>D4</f>
        <v>FY2013</v>
      </c>
      <c r="E33" s="79"/>
      <c r="F33" s="79"/>
      <c r="G33" s="79"/>
      <c r="H33" s="8" t="str">
        <f>H4</f>
        <v>FY2014</v>
      </c>
      <c r="I33" s="79"/>
      <c r="J33" s="79"/>
      <c r="K33" s="79"/>
      <c r="L33" s="8" t="str">
        <f>L4</f>
        <v>FY2015</v>
      </c>
      <c r="M33" s="79"/>
      <c r="N33" s="79"/>
      <c r="O33" s="79"/>
      <c r="P33" s="8" t="str">
        <f>P4</f>
        <v>FY2016</v>
      </c>
      <c r="Q33" s="79"/>
      <c r="R33" s="79"/>
      <c r="S33" s="80"/>
      <c r="T33" s="79"/>
      <c r="U33" s="79"/>
      <c r="V33" s="80"/>
      <c r="X33" s="11" t="str">
        <f>X4</f>
        <v>FY2013</v>
      </c>
      <c r="Y33" s="11" t="str">
        <f>Y4</f>
        <v>FY2014</v>
      </c>
      <c r="Z33" s="11" t="s">
        <v>123</v>
      </c>
      <c r="AA33" s="11" t="str">
        <f>+AA4</f>
        <v>FY2016</v>
      </c>
      <c r="AB33" s="11" t="str">
        <f>+AB4</f>
        <v>2018/3</v>
      </c>
    </row>
    <row r="34" spans="1:28" ht="19.649999999999999" customHeight="1">
      <c r="A34" s="79"/>
      <c r="B34" s="79"/>
      <c r="C34" s="79"/>
      <c r="D34" s="12" t="s">
        <v>9</v>
      </c>
      <c r="E34" s="13" t="s">
        <v>10</v>
      </c>
      <c r="F34" s="13" t="s">
        <v>11</v>
      </c>
      <c r="G34" s="13" t="s">
        <v>12</v>
      </c>
      <c r="H34" s="12" t="s">
        <v>9</v>
      </c>
      <c r="I34" s="13" t="s">
        <v>10</v>
      </c>
      <c r="J34" s="13" t="s">
        <v>11</v>
      </c>
      <c r="K34" s="13" t="s">
        <v>12</v>
      </c>
      <c r="L34" s="12" t="str">
        <f>L5</f>
        <v>Q1 *1</v>
      </c>
      <c r="M34" s="13" t="s">
        <v>10</v>
      </c>
      <c r="N34" s="13" t="str">
        <f>N5</f>
        <v>Q3</v>
      </c>
      <c r="O34" s="13" t="s">
        <v>12</v>
      </c>
      <c r="P34" s="12" t="str">
        <f>P5</f>
        <v>Q1</v>
      </c>
      <c r="Q34" s="13" t="s">
        <v>10</v>
      </c>
      <c r="R34" s="13" t="str">
        <f>R5</f>
        <v>Q3</v>
      </c>
      <c r="S34" s="14" t="s">
        <v>12</v>
      </c>
      <c r="T34" s="13" t="s">
        <v>10</v>
      </c>
      <c r="U34" s="13" t="str">
        <f>U5</f>
        <v>Q3</v>
      </c>
      <c r="V34" s="14" t="s">
        <v>12</v>
      </c>
      <c r="X34" s="15"/>
      <c r="Y34" s="15"/>
      <c r="Z34" s="15"/>
      <c r="AA34" s="15"/>
      <c r="AB34" s="15"/>
    </row>
    <row r="35" spans="1:28" s="19" customFormat="1" ht="16.5" customHeight="1">
      <c r="B35" s="19" t="s">
        <v>31</v>
      </c>
      <c r="D35" s="81"/>
      <c r="E35" s="82"/>
      <c r="F35" s="82"/>
      <c r="G35" s="82"/>
      <c r="H35" s="81"/>
      <c r="I35" s="82"/>
      <c r="J35" s="82"/>
      <c r="K35" s="82"/>
      <c r="L35" s="81"/>
      <c r="M35" s="82"/>
      <c r="N35" s="82"/>
      <c r="O35" s="82"/>
      <c r="P35" s="81"/>
      <c r="Q35" s="82"/>
      <c r="R35" s="82"/>
      <c r="S35" s="83"/>
      <c r="T35" s="82"/>
      <c r="U35" s="82"/>
      <c r="V35" s="83"/>
      <c r="X35" s="84">
        <v>100.44</v>
      </c>
      <c r="Y35" s="84">
        <v>94.58</v>
      </c>
      <c r="Z35" s="84">
        <v>86.87</v>
      </c>
      <c r="AA35" s="84">
        <v>4.8099999999999996</v>
      </c>
      <c r="AB35" s="84"/>
    </row>
    <row r="36" spans="1:28" s="19" customFormat="1" ht="16.5" customHeight="1">
      <c r="B36" s="19" t="s">
        <v>32</v>
      </c>
      <c r="D36" s="81"/>
      <c r="E36" s="82"/>
      <c r="F36" s="82"/>
      <c r="G36" s="82"/>
      <c r="H36" s="81"/>
      <c r="I36" s="82"/>
      <c r="J36" s="82"/>
      <c r="K36" s="82"/>
      <c r="L36" s="81"/>
      <c r="M36" s="82"/>
      <c r="N36" s="82"/>
      <c r="O36" s="82"/>
      <c r="P36" s="81"/>
      <c r="Q36" s="82"/>
      <c r="R36" s="82"/>
      <c r="S36" s="83"/>
      <c r="T36" s="82"/>
      <c r="U36" s="82"/>
      <c r="V36" s="83"/>
      <c r="X36" s="85" t="s">
        <v>35</v>
      </c>
      <c r="Y36" s="85" t="s">
        <v>124</v>
      </c>
      <c r="Z36" s="85" t="s">
        <v>35</v>
      </c>
      <c r="AA36" s="85" t="s">
        <v>35</v>
      </c>
      <c r="AB36" s="85" t="s">
        <v>35</v>
      </c>
    </row>
    <row r="37" spans="1:28" s="19" customFormat="1" ht="16.5" customHeight="1">
      <c r="B37" s="19" t="s">
        <v>33</v>
      </c>
      <c r="D37" s="81"/>
      <c r="E37" s="82"/>
      <c r="F37" s="82"/>
      <c r="G37" s="82"/>
      <c r="H37" s="81"/>
      <c r="I37" s="82"/>
      <c r="J37" s="82"/>
      <c r="K37" s="82"/>
      <c r="L37" s="81"/>
      <c r="M37" s="82"/>
      <c r="N37" s="82"/>
      <c r="O37" s="82"/>
      <c r="P37" s="81"/>
      <c r="Q37" s="82"/>
      <c r="R37" s="82"/>
      <c r="S37" s="83"/>
      <c r="T37" s="82"/>
      <c r="U37" s="82"/>
      <c r="V37" s="83"/>
      <c r="X37" s="84">
        <v>33</v>
      </c>
      <c r="Y37" s="84">
        <v>34</v>
      </c>
      <c r="Z37" s="84">
        <v>35</v>
      </c>
      <c r="AA37" s="84"/>
      <c r="AB37" s="84"/>
    </row>
    <row r="38" spans="1:28" s="19" customFormat="1" ht="15" customHeight="1">
      <c r="B38" s="19" t="s">
        <v>34</v>
      </c>
      <c r="D38" s="81"/>
      <c r="E38" s="82"/>
      <c r="F38" s="82"/>
      <c r="G38" s="82"/>
      <c r="H38" s="81"/>
      <c r="I38" s="82"/>
      <c r="J38" s="82"/>
      <c r="K38" s="82"/>
      <c r="L38" s="81"/>
      <c r="M38" s="82"/>
      <c r="N38" s="82"/>
      <c r="O38" s="82"/>
      <c r="P38" s="81"/>
      <c r="Q38" s="82"/>
      <c r="R38" s="82"/>
      <c r="S38" s="83"/>
      <c r="T38" s="82"/>
      <c r="U38" s="82"/>
      <c r="V38" s="83"/>
      <c r="X38" s="86">
        <v>0.32855436081242534</v>
      </c>
      <c r="Y38" s="86">
        <f>Y37/Y35</f>
        <v>0.3594840346796363</v>
      </c>
      <c r="Z38" s="86">
        <f>Z37/Z35</f>
        <v>0.40290088638195004</v>
      </c>
      <c r="AA38" s="86">
        <f>AA37/AA35</f>
        <v>0</v>
      </c>
      <c r="AB38" s="86" t="e">
        <f>AB37/AB35</f>
        <v>#DIV/0!</v>
      </c>
    </row>
    <row r="39" spans="1:28" s="19" customFormat="1" ht="15" customHeight="1">
      <c r="B39" s="19" t="s">
        <v>36</v>
      </c>
      <c r="D39" s="81"/>
      <c r="E39" s="82"/>
      <c r="F39" s="82"/>
      <c r="G39" s="82"/>
      <c r="H39" s="81"/>
      <c r="I39" s="82"/>
      <c r="J39" s="82"/>
      <c r="K39" s="82"/>
      <c r="L39" s="81"/>
      <c r="M39" s="82"/>
      <c r="N39" s="82"/>
      <c r="O39" s="82"/>
      <c r="P39" s="81"/>
      <c r="Q39" s="82"/>
      <c r="R39" s="82"/>
      <c r="S39" s="83"/>
      <c r="T39" s="82"/>
      <c r="U39" s="82"/>
      <c r="V39" s="83"/>
      <c r="X39" s="87">
        <v>1420.04</v>
      </c>
      <c r="Y39" s="87">
        <v>1495.61</v>
      </c>
      <c r="Z39" s="87">
        <v>1486.87</v>
      </c>
      <c r="AA39" s="87">
        <v>1437.62</v>
      </c>
      <c r="AB39" s="87"/>
    </row>
    <row r="43" spans="1:28" ht="25.65" customHeight="1">
      <c r="A43" s="1" t="s">
        <v>37</v>
      </c>
      <c r="B43" s="2"/>
      <c r="C43" s="2"/>
    </row>
    <row r="44" spans="1:28" ht="13.95" customHeight="1">
      <c r="A44" s="4"/>
    </row>
    <row r="45" spans="1:28">
      <c r="A45" s="5"/>
      <c r="B45" s="5"/>
      <c r="C45" s="5"/>
      <c r="D45" s="6"/>
      <c r="E45" s="5"/>
      <c r="F45" s="5"/>
      <c r="G45" s="5"/>
      <c r="H45" s="6"/>
      <c r="I45" s="5"/>
      <c r="J45" s="5"/>
      <c r="K45" s="5"/>
      <c r="L45" s="6"/>
      <c r="M45" s="5"/>
      <c r="N45" s="5"/>
      <c r="O45" s="5"/>
      <c r="P45" s="6"/>
      <c r="Q45" s="5"/>
      <c r="R45" s="5"/>
      <c r="S45" s="7"/>
      <c r="T45" s="5"/>
      <c r="U45" s="5"/>
      <c r="V45" s="7"/>
      <c r="X45" s="5"/>
      <c r="Y45" s="5"/>
      <c r="Z45" s="5"/>
      <c r="AA45" s="5"/>
      <c r="AB45" s="5"/>
    </row>
    <row r="46" spans="1:28">
      <c r="D46" s="8" t="str">
        <f>D4</f>
        <v>FY2013</v>
      </c>
      <c r="E46" s="79"/>
      <c r="F46" s="79"/>
      <c r="G46" s="79"/>
      <c r="H46" s="8" t="str">
        <f>H4</f>
        <v>FY2014</v>
      </c>
      <c r="I46" s="79"/>
      <c r="J46" s="79"/>
      <c r="K46" s="79"/>
      <c r="L46" s="8" t="str">
        <f>L4</f>
        <v>FY2015</v>
      </c>
      <c r="M46" s="79"/>
      <c r="N46" s="79"/>
      <c r="O46" s="79"/>
      <c r="P46" s="8" t="str">
        <f>P4</f>
        <v>FY2016</v>
      </c>
      <c r="Q46" s="79"/>
      <c r="R46" s="79"/>
      <c r="S46" s="80"/>
      <c r="T46" s="79"/>
      <c r="U46" s="79"/>
      <c r="V46" s="80"/>
      <c r="X46" s="11" t="str">
        <f>X4</f>
        <v>FY2013</v>
      </c>
      <c r="Y46" s="11" t="str">
        <f>Y4</f>
        <v>FY2014</v>
      </c>
      <c r="Z46" s="11" t="s">
        <v>123</v>
      </c>
      <c r="AA46" s="11" t="str">
        <f>+AA4</f>
        <v>FY2016</v>
      </c>
      <c r="AB46" s="11" t="str">
        <f>+AB4</f>
        <v>2018/3</v>
      </c>
    </row>
    <row r="47" spans="1:28" ht="19.649999999999999" customHeight="1">
      <c r="A47" s="79"/>
      <c r="B47" s="79"/>
      <c r="C47" s="79"/>
      <c r="D47" s="12" t="s">
        <v>9</v>
      </c>
      <c r="E47" s="13" t="s">
        <v>10</v>
      </c>
      <c r="F47" s="13" t="s">
        <v>11</v>
      </c>
      <c r="G47" s="13" t="s">
        <v>12</v>
      </c>
      <c r="H47" s="12" t="s">
        <v>9</v>
      </c>
      <c r="I47" s="13" t="s">
        <v>10</v>
      </c>
      <c r="J47" s="13" t="s">
        <v>11</v>
      </c>
      <c r="K47" s="13" t="s">
        <v>12</v>
      </c>
      <c r="L47" s="12" t="str">
        <f>L5</f>
        <v>Q1 *1</v>
      </c>
      <c r="M47" s="13" t="s">
        <v>10</v>
      </c>
      <c r="N47" s="13" t="str">
        <f>N5</f>
        <v>Q3</v>
      </c>
      <c r="O47" s="13" t="s">
        <v>12</v>
      </c>
      <c r="P47" s="12" t="str">
        <f>P5</f>
        <v>Q1</v>
      </c>
      <c r="Q47" s="13" t="s">
        <v>10</v>
      </c>
      <c r="R47" s="13" t="str">
        <f>R5</f>
        <v>Q3</v>
      </c>
      <c r="S47" s="14" t="s">
        <v>12</v>
      </c>
      <c r="T47" s="13" t="s">
        <v>10</v>
      </c>
      <c r="U47" s="13" t="str">
        <f>U5</f>
        <v>Q3</v>
      </c>
      <c r="V47" s="14" t="s">
        <v>12</v>
      </c>
      <c r="X47" s="15"/>
      <c r="Y47" s="15"/>
      <c r="Z47" s="15"/>
      <c r="AA47" s="15"/>
      <c r="AB47" s="15"/>
    </row>
    <row r="48" spans="1:28" ht="19.649999999999999" customHeight="1">
      <c r="A48" s="3" t="s">
        <v>14</v>
      </c>
      <c r="D48" s="25">
        <v>492895</v>
      </c>
      <c r="E48" s="25">
        <v>505706</v>
      </c>
      <c r="F48" s="25">
        <v>521138</v>
      </c>
      <c r="G48" s="25">
        <v>588736</v>
      </c>
      <c r="H48" s="36">
        <v>506566</v>
      </c>
      <c r="I48" s="25">
        <v>526047</v>
      </c>
      <c r="J48" s="25">
        <v>538887</v>
      </c>
      <c r="K48" s="25">
        <v>579904</v>
      </c>
      <c r="L48" s="36">
        <v>539175</v>
      </c>
      <c r="M48" s="25">
        <v>556003</v>
      </c>
      <c r="N48" s="25">
        <v>548678</v>
      </c>
      <c r="O48" s="25">
        <v>565172</v>
      </c>
      <c r="P48" s="36">
        <f>+P8</f>
        <v>487706</v>
      </c>
      <c r="Q48" s="25">
        <f t="shared" ref="Q48:S48" si="11">+Q8</f>
        <v>483737</v>
      </c>
      <c r="R48" s="25">
        <f t="shared" si="11"/>
        <v>497983</v>
      </c>
      <c r="S48" s="26">
        <f t="shared" si="11"/>
        <v>559473</v>
      </c>
      <c r="T48" s="25">
        <f t="shared" ref="T48:V48" si="12">+T8</f>
        <v>0</v>
      </c>
      <c r="U48" s="25">
        <f t="shared" si="12"/>
        <v>0</v>
      </c>
      <c r="V48" s="26">
        <f t="shared" si="12"/>
        <v>0</v>
      </c>
      <c r="W48" s="27"/>
      <c r="X48" s="28">
        <v>2108475</v>
      </c>
      <c r="Y48" s="28">
        <f t="shared" ref="Y48:Y60" si="13">SUM(H48:K48)</f>
        <v>2151404</v>
      </c>
      <c r="Z48" s="28">
        <v>2209028</v>
      </c>
      <c r="AA48" s="28">
        <f t="shared" ref="AA48:AA56" si="14">SUM(P48:S48)</f>
        <v>2028899</v>
      </c>
      <c r="AB48" s="28">
        <f t="shared" ref="AB48:AB56" si="15">SUM(T48:V48)</f>
        <v>0</v>
      </c>
    </row>
    <row r="49" spans="1:28" ht="19.649999999999999" customHeight="1">
      <c r="A49" s="3" t="s">
        <v>38</v>
      </c>
      <c r="D49" s="24">
        <v>281616</v>
      </c>
      <c r="E49" s="28">
        <v>296923</v>
      </c>
      <c r="F49" s="28">
        <v>300434</v>
      </c>
      <c r="G49" s="28">
        <v>356277</v>
      </c>
      <c r="H49" s="24">
        <v>287251</v>
      </c>
      <c r="I49" s="28">
        <v>298906</v>
      </c>
      <c r="J49" s="28">
        <v>306160</v>
      </c>
      <c r="K49" s="28">
        <v>352169</v>
      </c>
      <c r="L49" s="24">
        <v>314337</v>
      </c>
      <c r="M49" s="28">
        <v>334105</v>
      </c>
      <c r="N49" s="28">
        <v>322671</v>
      </c>
      <c r="O49" s="28">
        <v>355951</v>
      </c>
      <c r="P49" s="24">
        <f>+P48-P50</f>
        <v>288868</v>
      </c>
      <c r="Q49" s="25">
        <f t="shared" ref="Q49:S49" si="16">+Q48-Q50</f>
        <v>295350</v>
      </c>
      <c r="R49" s="25">
        <f t="shared" si="16"/>
        <v>299700</v>
      </c>
      <c r="S49" s="26">
        <f t="shared" si="16"/>
        <v>356353</v>
      </c>
      <c r="T49" s="25">
        <f t="shared" ref="T49:V49" si="17">+T48-T50</f>
        <v>0</v>
      </c>
      <c r="U49" s="25">
        <f t="shared" si="17"/>
        <v>0</v>
      </c>
      <c r="V49" s="26">
        <f t="shared" si="17"/>
        <v>0</v>
      </c>
      <c r="W49" s="27"/>
      <c r="X49" s="28">
        <v>1235250</v>
      </c>
      <c r="Y49" s="28">
        <f t="shared" si="13"/>
        <v>1244486</v>
      </c>
      <c r="Z49" s="28">
        <v>1327064</v>
      </c>
      <c r="AA49" s="28">
        <f t="shared" si="14"/>
        <v>1240271</v>
      </c>
      <c r="AB49" s="28">
        <f t="shared" si="15"/>
        <v>0</v>
      </c>
    </row>
    <row r="50" spans="1:28" ht="19.649999999999999" customHeight="1">
      <c r="A50" s="29" t="s">
        <v>39</v>
      </c>
      <c r="B50" s="29"/>
      <c r="C50" s="29"/>
      <c r="D50" s="37">
        <v>211279</v>
      </c>
      <c r="E50" s="31">
        <v>208783</v>
      </c>
      <c r="F50" s="31">
        <v>220704</v>
      </c>
      <c r="G50" s="31">
        <v>232459</v>
      </c>
      <c r="H50" s="30">
        <v>219315</v>
      </c>
      <c r="I50" s="31">
        <v>227141</v>
      </c>
      <c r="J50" s="31">
        <v>232727</v>
      </c>
      <c r="K50" s="31">
        <v>227735</v>
      </c>
      <c r="L50" s="30">
        <v>224838</v>
      </c>
      <c r="M50" s="31">
        <v>221898</v>
      </c>
      <c r="N50" s="31">
        <v>226007</v>
      </c>
      <c r="O50" s="31">
        <v>209221</v>
      </c>
      <c r="P50" s="30">
        <v>198838</v>
      </c>
      <c r="Q50" s="31">
        <v>188387</v>
      </c>
      <c r="R50" s="31">
        <v>198283</v>
      </c>
      <c r="S50" s="32">
        <v>203120</v>
      </c>
      <c r="T50" s="31"/>
      <c r="U50" s="31"/>
      <c r="V50" s="32"/>
      <c r="W50" s="27"/>
      <c r="X50" s="31">
        <v>873225</v>
      </c>
      <c r="Y50" s="31">
        <f t="shared" si="13"/>
        <v>906918</v>
      </c>
      <c r="Z50" s="31">
        <v>881964</v>
      </c>
      <c r="AA50" s="31">
        <f t="shared" si="14"/>
        <v>788628</v>
      </c>
      <c r="AB50" s="31">
        <f t="shared" si="15"/>
        <v>0</v>
      </c>
    </row>
    <row r="51" spans="1:28" ht="19.649999999999999" customHeight="1">
      <c r="A51" s="3" t="s">
        <v>40</v>
      </c>
      <c r="D51" s="30">
        <v>189040</v>
      </c>
      <c r="E51" s="28">
        <v>179089</v>
      </c>
      <c r="F51" s="28">
        <v>194236</v>
      </c>
      <c r="G51" s="28">
        <v>190515</v>
      </c>
      <c r="H51" s="24">
        <v>192146</v>
      </c>
      <c r="I51" s="28">
        <v>198442</v>
      </c>
      <c r="J51" s="28">
        <v>202506</v>
      </c>
      <c r="K51" s="28">
        <v>198059</v>
      </c>
      <c r="L51" s="24">
        <v>204165</v>
      </c>
      <c r="M51" s="28">
        <v>186453</v>
      </c>
      <c r="N51" s="28">
        <v>196665</v>
      </c>
      <c r="O51" s="28">
        <v>192386</v>
      </c>
      <c r="P51" s="24">
        <f>+P50-P52</f>
        <v>187968</v>
      </c>
      <c r="Q51" s="25">
        <f t="shared" ref="Q51:S51" si="18">+Q50-Q52</f>
        <v>182707</v>
      </c>
      <c r="R51" s="25">
        <f t="shared" si="18"/>
        <v>186258</v>
      </c>
      <c r="S51" s="26">
        <f t="shared" si="18"/>
        <v>197815</v>
      </c>
      <c r="T51" s="25">
        <f t="shared" ref="T51:V51" si="19">+T50-T52</f>
        <v>0</v>
      </c>
      <c r="U51" s="25">
        <f t="shared" si="19"/>
        <v>0</v>
      </c>
      <c r="V51" s="26">
        <f t="shared" si="19"/>
        <v>0</v>
      </c>
      <c r="W51" s="27"/>
      <c r="X51" s="28">
        <v>752880</v>
      </c>
      <c r="Y51" s="28">
        <f t="shared" si="13"/>
        <v>791153</v>
      </c>
      <c r="Z51" s="28">
        <v>779669</v>
      </c>
      <c r="AA51" s="28">
        <f t="shared" si="14"/>
        <v>754748</v>
      </c>
      <c r="AB51" s="28">
        <f t="shared" si="15"/>
        <v>0</v>
      </c>
    </row>
    <row r="52" spans="1:28" ht="19.649999999999999" customHeight="1">
      <c r="A52" s="29" t="s">
        <v>15</v>
      </c>
      <c r="B52" s="29"/>
      <c r="C52" s="29"/>
      <c r="D52" s="30">
        <v>22239</v>
      </c>
      <c r="E52" s="31">
        <v>29694</v>
      </c>
      <c r="F52" s="31">
        <v>26468</v>
      </c>
      <c r="G52" s="31">
        <v>41944</v>
      </c>
      <c r="H52" s="30">
        <v>27169</v>
      </c>
      <c r="I52" s="31">
        <v>28699</v>
      </c>
      <c r="J52" s="31">
        <v>30221</v>
      </c>
      <c r="K52" s="31">
        <v>29676</v>
      </c>
      <c r="L52" s="30">
        <v>20673</v>
      </c>
      <c r="M52" s="31">
        <v>35445</v>
      </c>
      <c r="N52" s="31">
        <v>29342</v>
      </c>
      <c r="O52" s="31">
        <v>16835</v>
      </c>
      <c r="P52" s="30">
        <f>+P9</f>
        <v>10870</v>
      </c>
      <c r="Q52" s="31">
        <f t="shared" ref="Q52:S52" si="20">+Q9</f>
        <v>5680</v>
      </c>
      <c r="R52" s="31">
        <f t="shared" si="20"/>
        <v>12025</v>
      </c>
      <c r="S52" s="32">
        <f t="shared" si="20"/>
        <v>5305</v>
      </c>
      <c r="T52" s="31">
        <f t="shared" ref="T52:V52" si="21">+T9</f>
        <v>0</v>
      </c>
      <c r="U52" s="31">
        <f t="shared" si="21"/>
        <v>0</v>
      </c>
      <c r="V52" s="32">
        <f t="shared" si="21"/>
        <v>0</v>
      </c>
      <c r="W52" s="27"/>
      <c r="X52" s="31">
        <v>120345</v>
      </c>
      <c r="Y52" s="31">
        <f t="shared" si="13"/>
        <v>115765</v>
      </c>
      <c r="Z52" s="31">
        <v>102295</v>
      </c>
      <c r="AA52" s="31">
        <f t="shared" si="14"/>
        <v>33880</v>
      </c>
      <c r="AB52" s="31">
        <f t="shared" si="15"/>
        <v>0</v>
      </c>
    </row>
    <row r="53" spans="1:28" ht="19.649999999999999" customHeight="1">
      <c r="B53" s="3" t="s">
        <v>41</v>
      </c>
      <c r="D53" s="24">
        <v>660</v>
      </c>
      <c r="E53" s="28">
        <v>3202</v>
      </c>
      <c r="F53" s="28">
        <v>451</v>
      </c>
      <c r="G53" s="28">
        <v>2559</v>
      </c>
      <c r="H53" s="24">
        <v>785</v>
      </c>
      <c r="I53" s="28">
        <v>2692</v>
      </c>
      <c r="J53" s="28">
        <v>1015</v>
      </c>
      <c r="K53" s="28">
        <v>-529</v>
      </c>
      <c r="L53" s="24">
        <v>646</v>
      </c>
      <c r="M53" s="28">
        <v>2785</v>
      </c>
      <c r="N53" s="28">
        <v>353</v>
      </c>
      <c r="O53" s="28">
        <v>1307</v>
      </c>
      <c r="P53" s="24">
        <v>1805</v>
      </c>
      <c r="Q53" s="25">
        <v>1645</v>
      </c>
      <c r="R53" s="25">
        <v>149</v>
      </c>
      <c r="S53" s="26">
        <v>1001</v>
      </c>
      <c r="T53" s="25"/>
      <c r="U53" s="25"/>
      <c r="V53" s="26"/>
      <c r="W53" s="27"/>
      <c r="X53" s="28">
        <v>6872</v>
      </c>
      <c r="Y53" s="28">
        <f t="shared" si="13"/>
        <v>3963</v>
      </c>
      <c r="Z53" s="28">
        <v>5091</v>
      </c>
      <c r="AA53" s="28">
        <f t="shared" si="14"/>
        <v>4600</v>
      </c>
      <c r="AB53" s="28">
        <f t="shared" si="15"/>
        <v>0</v>
      </c>
    </row>
    <row r="54" spans="1:28" ht="19.649999999999999" customHeight="1">
      <c r="B54" s="3" t="s">
        <v>42</v>
      </c>
      <c r="D54" s="24">
        <v>2090</v>
      </c>
      <c r="E54" s="28">
        <v>3513</v>
      </c>
      <c r="F54" s="28">
        <v>1174</v>
      </c>
      <c r="G54" s="28">
        <v>2344</v>
      </c>
      <c r="H54" s="24">
        <v>2110</v>
      </c>
      <c r="I54" s="28">
        <v>1614</v>
      </c>
      <c r="J54" s="28">
        <v>1906</v>
      </c>
      <c r="K54" s="28">
        <v>1751</v>
      </c>
      <c r="L54" s="24">
        <v>1879</v>
      </c>
      <c r="M54" s="28">
        <v>4156</v>
      </c>
      <c r="N54" s="28">
        <v>2092</v>
      </c>
      <c r="O54" s="28">
        <v>3630</v>
      </c>
      <c r="P54" s="24">
        <v>2281</v>
      </c>
      <c r="Q54" s="25">
        <v>2476</v>
      </c>
      <c r="R54" s="25">
        <v>1288</v>
      </c>
      <c r="S54" s="26">
        <v>2511</v>
      </c>
      <c r="T54" s="25"/>
      <c r="U54" s="25"/>
      <c r="V54" s="26"/>
      <c r="W54" s="27"/>
      <c r="X54" s="28">
        <v>9121</v>
      </c>
      <c r="Y54" s="28">
        <f t="shared" si="13"/>
        <v>7381</v>
      </c>
      <c r="Z54" s="28">
        <v>11757</v>
      </c>
      <c r="AA54" s="28">
        <f t="shared" si="14"/>
        <v>8556</v>
      </c>
      <c r="AB54" s="28">
        <f t="shared" si="15"/>
        <v>0</v>
      </c>
    </row>
    <row r="55" spans="1:28" ht="19.649999999999999" customHeight="1">
      <c r="A55" s="29" t="s">
        <v>43</v>
      </c>
      <c r="B55" s="29"/>
      <c r="C55" s="29"/>
      <c r="D55" s="30">
        <v>1430</v>
      </c>
      <c r="E55" s="31">
        <v>311</v>
      </c>
      <c r="F55" s="31">
        <v>723</v>
      </c>
      <c r="G55" s="31">
        <v>-215</v>
      </c>
      <c r="H55" s="30">
        <f t="shared" ref="H55:K55" si="22">-H53+H54</f>
        <v>1325</v>
      </c>
      <c r="I55" s="31">
        <f t="shared" si="22"/>
        <v>-1078</v>
      </c>
      <c r="J55" s="31">
        <f t="shared" si="22"/>
        <v>891</v>
      </c>
      <c r="K55" s="31">
        <f t="shared" si="22"/>
        <v>2280</v>
      </c>
      <c r="L55" s="30">
        <f t="shared" ref="L55" si="23">-L53+L54</f>
        <v>1233</v>
      </c>
      <c r="M55" s="31">
        <f t="shared" ref="M55:N55" si="24">-M53+M54</f>
        <v>1371</v>
      </c>
      <c r="N55" s="31">
        <f t="shared" si="24"/>
        <v>1739</v>
      </c>
      <c r="O55" s="31">
        <v>2323</v>
      </c>
      <c r="P55" s="30">
        <f t="shared" ref="P55:S55" si="25">-P53+P54</f>
        <v>476</v>
      </c>
      <c r="Q55" s="31">
        <f t="shared" si="25"/>
        <v>831</v>
      </c>
      <c r="R55" s="31">
        <f t="shared" si="25"/>
        <v>1139</v>
      </c>
      <c r="S55" s="32">
        <f t="shared" si="25"/>
        <v>1510</v>
      </c>
      <c r="T55" s="31">
        <f t="shared" ref="T55:V55" si="26">-T53+T54</f>
        <v>0</v>
      </c>
      <c r="U55" s="31">
        <f t="shared" si="26"/>
        <v>0</v>
      </c>
      <c r="V55" s="32">
        <f t="shared" si="26"/>
        <v>0</v>
      </c>
      <c r="W55" s="27"/>
      <c r="X55" s="31">
        <v>2249</v>
      </c>
      <c r="Y55" s="31">
        <f t="shared" si="13"/>
        <v>3418</v>
      </c>
      <c r="Z55" s="31">
        <v>6666</v>
      </c>
      <c r="AA55" s="31">
        <f t="shared" si="14"/>
        <v>3956</v>
      </c>
      <c r="AB55" s="31">
        <f t="shared" si="15"/>
        <v>0</v>
      </c>
    </row>
    <row r="56" spans="1:28" ht="19.649999999999999" customHeight="1">
      <c r="A56" s="79" t="s">
        <v>125</v>
      </c>
      <c r="B56" s="79"/>
      <c r="C56" s="79"/>
      <c r="D56" s="24">
        <v>-17</v>
      </c>
      <c r="E56" s="28">
        <v>-18</v>
      </c>
      <c r="F56" s="28">
        <v>6</v>
      </c>
      <c r="G56" s="28">
        <v>-4</v>
      </c>
      <c r="H56" s="24">
        <v>-33</v>
      </c>
      <c r="I56" s="28">
        <v>1</v>
      </c>
      <c r="J56" s="28">
        <v>-37</v>
      </c>
      <c r="K56" s="28">
        <v>19</v>
      </c>
      <c r="L56" s="24">
        <v>12</v>
      </c>
      <c r="M56" s="28">
        <v>36</v>
      </c>
      <c r="N56" s="28">
        <v>18</v>
      </c>
      <c r="O56" s="28">
        <v>-11</v>
      </c>
      <c r="P56" s="24">
        <v>3</v>
      </c>
      <c r="Q56" s="25">
        <v>48</v>
      </c>
      <c r="R56" s="25">
        <v>-18</v>
      </c>
      <c r="S56" s="26">
        <v>-2</v>
      </c>
      <c r="T56" s="25"/>
      <c r="U56" s="25"/>
      <c r="V56" s="26"/>
      <c r="W56" s="27"/>
      <c r="X56" s="28">
        <v>-33</v>
      </c>
      <c r="Y56" s="88">
        <f t="shared" si="13"/>
        <v>-50</v>
      </c>
      <c r="Z56" s="88">
        <v>55</v>
      </c>
      <c r="AA56" s="88">
        <f t="shared" si="14"/>
        <v>31</v>
      </c>
      <c r="AB56" s="88">
        <f t="shared" si="15"/>
        <v>0</v>
      </c>
    </row>
    <row r="57" spans="1:28" ht="19.649999999999999" customHeight="1">
      <c r="A57" s="29" t="s">
        <v>126</v>
      </c>
      <c r="B57" s="29"/>
      <c r="C57" s="29"/>
      <c r="D57" s="30">
        <v>20792</v>
      </c>
      <c r="E57" s="31">
        <v>29365</v>
      </c>
      <c r="F57" s="31">
        <v>25751</v>
      </c>
      <c r="G57" s="31">
        <v>42155</v>
      </c>
      <c r="H57" s="30">
        <f t="shared" ref="H57:K57" si="27">H52-H55+H56</f>
        <v>25811</v>
      </c>
      <c r="I57" s="31">
        <f t="shared" si="27"/>
        <v>29778</v>
      </c>
      <c r="J57" s="31">
        <f t="shared" si="27"/>
        <v>29293</v>
      </c>
      <c r="K57" s="31">
        <f t="shared" si="27"/>
        <v>27415</v>
      </c>
      <c r="L57" s="30">
        <f t="shared" ref="L57" si="28">L52-L55+L56</f>
        <v>19452</v>
      </c>
      <c r="M57" s="31">
        <f t="shared" ref="M57:N57" si="29">M52-M55+M56</f>
        <v>34110</v>
      </c>
      <c r="N57" s="31">
        <f t="shared" si="29"/>
        <v>27621</v>
      </c>
      <c r="O57" s="31">
        <v>14501</v>
      </c>
      <c r="P57" s="30">
        <f t="shared" ref="P57:S57" si="30">P52-P55+P56</f>
        <v>10397</v>
      </c>
      <c r="Q57" s="31">
        <f t="shared" si="30"/>
        <v>4897</v>
      </c>
      <c r="R57" s="31">
        <f t="shared" si="30"/>
        <v>10868</v>
      </c>
      <c r="S57" s="32">
        <f t="shared" si="30"/>
        <v>3793</v>
      </c>
      <c r="T57" s="31">
        <f t="shared" ref="T57:V57" si="31">T52-T55+T56</f>
        <v>0</v>
      </c>
      <c r="U57" s="31">
        <f t="shared" si="31"/>
        <v>0</v>
      </c>
      <c r="V57" s="32">
        <f t="shared" si="31"/>
        <v>0</v>
      </c>
      <c r="W57" s="27"/>
      <c r="X57" s="31">
        <v>118063</v>
      </c>
      <c r="Y57" s="31">
        <f t="shared" si="13"/>
        <v>112297</v>
      </c>
      <c r="Z57" s="31">
        <v>95684</v>
      </c>
      <c r="AA57" s="31">
        <f>AA52-AA55+AA56</f>
        <v>29955</v>
      </c>
      <c r="AB57" s="31">
        <f>AB52-AB55+AB56</f>
        <v>0</v>
      </c>
    </row>
    <row r="58" spans="1:28" ht="19.649999999999999" customHeight="1">
      <c r="A58" s="3" t="s">
        <v>127</v>
      </c>
      <c r="D58" s="30">
        <v>7718</v>
      </c>
      <c r="E58" s="31">
        <v>11539</v>
      </c>
      <c r="F58" s="31">
        <v>9114</v>
      </c>
      <c r="G58" s="31">
        <v>11240</v>
      </c>
      <c r="H58" s="30">
        <v>9332</v>
      </c>
      <c r="I58" s="31">
        <v>9415</v>
      </c>
      <c r="J58" s="31">
        <v>9245</v>
      </c>
      <c r="K58" s="31">
        <v>10606</v>
      </c>
      <c r="L58" s="30">
        <v>5092</v>
      </c>
      <c r="M58" s="31">
        <v>11093</v>
      </c>
      <c r="N58" s="31">
        <v>9533</v>
      </c>
      <c r="O58" s="31">
        <v>2660</v>
      </c>
      <c r="P58" s="30">
        <v>4010</v>
      </c>
      <c r="Q58" s="31">
        <v>3291</v>
      </c>
      <c r="R58" s="31">
        <v>10238</v>
      </c>
      <c r="S58" s="32">
        <v>2979</v>
      </c>
      <c r="T58" s="31"/>
      <c r="U58" s="31"/>
      <c r="V58" s="32"/>
      <c r="W58" s="27"/>
      <c r="X58" s="31">
        <v>39611</v>
      </c>
      <c r="Y58" s="28">
        <f t="shared" si="13"/>
        <v>38598</v>
      </c>
      <c r="Z58" s="28">
        <v>28378</v>
      </c>
      <c r="AA58" s="28">
        <f>SUM(P58:S58)</f>
        <v>20518</v>
      </c>
      <c r="AB58" s="28">
        <f>SUM(T58:V58)</f>
        <v>0</v>
      </c>
    </row>
    <row r="59" spans="1:28" ht="19.649999999999999" customHeight="1">
      <c r="A59" s="29" t="s">
        <v>47</v>
      </c>
      <c r="B59" s="29"/>
      <c r="C59" s="29"/>
      <c r="D59" s="30">
        <v>1369</v>
      </c>
      <c r="E59" s="31">
        <v>1439</v>
      </c>
      <c r="F59" s="31">
        <v>1314</v>
      </c>
      <c r="G59" s="31">
        <v>1512</v>
      </c>
      <c r="H59" s="30">
        <v>1398</v>
      </c>
      <c r="I59" s="31">
        <v>1465</v>
      </c>
      <c r="J59" s="31">
        <v>1676</v>
      </c>
      <c r="K59" s="31">
        <v>598</v>
      </c>
      <c r="L59" s="30">
        <v>1374</v>
      </c>
      <c r="M59" s="31">
        <v>1460</v>
      </c>
      <c r="N59" s="31">
        <v>1216</v>
      </c>
      <c r="O59" s="31">
        <v>281</v>
      </c>
      <c r="P59" s="30">
        <v>1616</v>
      </c>
      <c r="Q59" s="31">
        <v>1375</v>
      </c>
      <c r="R59" s="31">
        <v>1518</v>
      </c>
      <c r="S59" s="32">
        <v>1439</v>
      </c>
      <c r="T59" s="31"/>
      <c r="U59" s="31"/>
      <c r="V59" s="32"/>
      <c r="W59" s="27"/>
      <c r="X59" s="31">
        <v>5634</v>
      </c>
      <c r="Y59" s="31">
        <f t="shared" si="13"/>
        <v>5137</v>
      </c>
      <c r="Z59" s="31">
        <v>4331</v>
      </c>
      <c r="AA59" s="31">
        <f>SUM(P59:S59)</f>
        <v>5948</v>
      </c>
      <c r="AB59" s="31">
        <f>SUM(T59:V59)</f>
        <v>0</v>
      </c>
    </row>
    <row r="60" spans="1:28" ht="19.649999999999999" customHeight="1" thickBot="1">
      <c r="A60" s="89" t="s">
        <v>48</v>
      </c>
      <c r="B60" s="89"/>
      <c r="C60" s="89"/>
      <c r="D60" s="90">
        <v>11705</v>
      </c>
      <c r="E60" s="91">
        <v>16387</v>
      </c>
      <c r="F60" s="91">
        <v>15323</v>
      </c>
      <c r="G60" s="91">
        <v>29403</v>
      </c>
      <c r="H60" s="90">
        <f>H57-H58-H59</f>
        <v>15081</v>
      </c>
      <c r="I60" s="91">
        <f t="shared" ref="I60:K60" si="32">I57-I58-I59</f>
        <v>18898</v>
      </c>
      <c r="J60" s="91">
        <f t="shared" si="32"/>
        <v>18372</v>
      </c>
      <c r="K60" s="91">
        <f t="shared" si="32"/>
        <v>16211</v>
      </c>
      <c r="L60" s="90">
        <f>L57-L58-L59</f>
        <v>12986</v>
      </c>
      <c r="M60" s="91">
        <f t="shared" ref="M60:N60" si="33">M57-M58-M59</f>
        <v>21557</v>
      </c>
      <c r="N60" s="91">
        <f t="shared" si="33"/>
        <v>16872</v>
      </c>
      <c r="O60" s="91">
        <v>11560</v>
      </c>
      <c r="P60" s="90">
        <f>P57-P58-P59</f>
        <v>4771</v>
      </c>
      <c r="Q60" s="91">
        <f t="shared" ref="Q60:S60" si="34">Q57-Q58-Q59</f>
        <v>231</v>
      </c>
      <c r="R60" s="91">
        <f t="shared" si="34"/>
        <v>-888</v>
      </c>
      <c r="S60" s="92">
        <f t="shared" si="34"/>
        <v>-625</v>
      </c>
      <c r="T60" s="91">
        <f t="shared" ref="T60:V60" si="35">T57-T58-T59</f>
        <v>0</v>
      </c>
      <c r="U60" s="91">
        <f t="shared" si="35"/>
        <v>0</v>
      </c>
      <c r="V60" s="92">
        <f t="shared" si="35"/>
        <v>0</v>
      </c>
      <c r="W60" s="27"/>
      <c r="X60" s="91">
        <v>72818</v>
      </c>
      <c r="Y60" s="91">
        <f t="shared" si="13"/>
        <v>68562</v>
      </c>
      <c r="Z60" s="91">
        <v>62975</v>
      </c>
      <c r="AA60" s="91">
        <f>SUM(P60:S60)</f>
        <v>3489</v>
      </c>
      <c r="AB60" s="91">
        <f>SUM(T60:V60)</f>
        <v>0</v>
      </c>
    </row>
    <row r="61" spans="1:28"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X61" s="93"/>
      <c r="Y61" s="93"/>
      <c r="Z61" s="93"/>
      <c r="AA61" s="93"/>
      <c r="AB61" s="93"/>
    </row>
    <row r="63" spans="1:28" s="4" customFormat="1">
      <c r="A63" s="1" t="s">
        <v>49</v>
      </c>
      <c r="B63" s="1"/>
      <c r="C63" s="1"/>
    </row>
    <row r="65" spans="1:28">
      <c r="A65" s="5"/>
      <c r="B65" s="5"/>
      <c r="C65" s="5"/>
      <c r="D65" s="6"/>
      <c r="E65" s="5"/>
      <c r="F65" s="5"/>
      <c r="G65" s="5"/>
      <c r="H65" s="6"/>
      <c r="I65" s="5"/>
      <c r="J65" s="5"/>
      <c r="K65" s="5"/>
      <c r="L65" s="6"/>
      <c r="M65" s="5"/>
      <c r="N65" s="5"/>
      <c r="O65" s="5"/>
      <c r="P65" s="6"/>
      <c r="Q65" s="5"/>
      <c r="R65" s="5"/>
      <c r="S65" s="7"/>
      <c r="T65" s="5"/>
      <c r="U65" s="5"/>
      <c r="V65" s="7"/>
      <c r="X65" s="5"/>
      <c r="Y65" s="5"/>
      <c r="Z65" s="5"/>
      <c r="AA65" s="5"/>
      <c r="AB65" s="5"/>
    </row>
    <row r="66" spans="1:28">
      <c r="D66" s="8" t="str">
        <f>D4</f>
        <v>FY2013</v>
      </c>
      <c r="E66" s="79"/>
      <c r="F66" s="79"/>
      <c r="G66" s="79"/>
      <c r="H66" s="8" t="str">
        <f>H4</f>
        <v>FY2014</v>
      </c>
      <c r="I66" s="79"/>
      <c r="J66" s="79"/>
      <c r="K66" s="79"/>
      <c r="L66" s="8" t="str">
        <f>L4</f>
        <v>FY2015</v>
      </c>
      <c r="M66" s="79"/>
      <c r="N66" s="79"/>
      <c r="O66" s="79"/>
      <c r="P66" s="8" t="str">
        <f>P4</f>
        <v>FY2016</v>
      </c>
      <c r="Q66" s="79"/>
      <c r="R66" s="79"/>
      <c r="S66" s="80"/>
      <c r="T66" s="79"/>
      <c r="U66" s="79"/>
      <c r="V66" s="80"/>
      <c r="X66" s="11" t="str">
        <f>X4</f>
        <v>FY2013</v>
      </c>
      <c r="Y66" s="11" t="str">
        <f>Y4</f>
        <v>FY2014</v>
      </c>
      <c r="Z66" s="11" t="s">
        <v>123</v>
      </c>
      <c r="AA66" s="11" t="str">
        <f>+AA4</f>
        <v>FY2016</v>
      </c>
      <c r="AB66" s="11" t="str">
        <f>+AB4</f>
        <v>2018/3</v>
      </c>
    </row>
    <row r="67" spans="1:28" ht="27.15" customHeight="1">
      <c r="A67" s="79" t="s">
        <v>50</v>
      </c>
      <c r="B67" s="79"/>
      <c r="C67" s="94"/>
      <c r="D67" s="12" t="s">
        <v>9</v>
      </c>
      <c r="E67" s="13" t="s">
        <v>10</v>
      </c>
      <c r="F67" s="13" t="s">
        <v>11</v>
      </c>
      <c r="G67" s="13" t="s">
        <v>12</v>
      </c>
      <c r="H67" s="12" t="s">
        <v>9</v>
      </c>
      <c r="I67" s="13" t="s">
        <v>10</v>
      </c>
      <c r="J67" s="13" t="s">
        <v>11</v>
      </c>
      <c r="K67" s="13" t="s">
        <v>12</v>
      </c>
      <c r="L67" s="12" t="str">
        <f>L5</f>
        <v>Q1 *1</v>
      </c>
      <c r="M67" s="13" t="s">
        <v>10</v>
      </c>
      <c r="N67" s="13" t="str">
        <f>N5</f>
        <v>Q3</v>
      </c>
      <c r="O67" s="13" t="s">
        <v>12</v>
      </c>
      <c r="P67" s="12" t="str">
        <f>P5</f>
        <v>Q1</v>
      </c>
      <c r="Q67" s="13" t="s">
        <v>10</v>
      </c>
      <c r="R67" s="13" t="str">
        <f>R5</f>
        <v>Q3</v>
      </c>
      <c r="S67" s="14" t="s">
        <v>12</v>
      </c>
      <c r="T67" s="13" t="s">
        <v>10</v>
      </c>
      <c r="U67" s="13" t="str">
        <f>U5</f>
        <v>Q3</v>
      </c>
      <c r="V67" s="14" t="s">
        <v>12</v>
      </c>
      <c r="X67" s="15"/>
      <c r="Y67" s="15"/>
      <c r="Z67" s="15"/>
      <c r="AA67" s="15"/>
      <c r="AB67" s="15"/>
    </row>
    <row r="68" spans="1:28" ht="19.649999999999999" customHeight="1">
      <c r="B68" s="3" t="s">
        <v>51</v>
      </c>
      <c r="D68" s="118"/>
      <c r="E68" s="119"/>
      <c r="F68" s="119"/>
      <c r="G68" s="119"/>
      <c r="H68" s="24">
        <v>118595</v>
      </c>
      <c r="I68" s="25">
        <v>133590</v>
      </c>
      <c r="J68" s="25">
        <v>136529</v>
      </c>
      <c r="K68" s="25">
        <v>137722</v>
      </c>
      <c r="L68" s="24">
        <v>149727</v>
      </c>
      <c r="M68" s="25">
        <v>180196</v>
      </c>
      <c r="N68" s="25">
        <v>162672</v>
      </c>
      <c r="O68" s="25">
        <v>167547</v>
      </c>
      <c r="P68" s="24">
        <v>186957</v>
      </c>
      <c r="Q68" s="25">
        <v>184238</v>
      </c>
      <c r="R68" s="25">
        <v>193154</v>
      </c>
      <c r="S68" s="26">
        <v>126429</v>
      </c>
      <c r="T68" s="25"/>
      <c r="U68" s="25"/>
      <c r="V68" s="26"/>
      <c r="W68" s="27"/>
      <c r="X68" s="25">
        <v>140047</v>
      </c>
      <c r="Y68" s="25">
        <f>K68</f>
        <v>137722</v>
      </c>
      <c r="Z68" s="25">
        <v>167547</v>
      </c>
      <c r="AA68" s="25">
        <f t="shared" ref="AA68:AA80" si="36">S68</f>
        <v>126429</v>
      </c>
      <c r="AB68" s="25">
        <f>V68</f>
        <v>0</v>
      </c>
    </row>
    <row r="69" spans="1:28" ht="19.649999999999999" customHeight="1">
      <c r="B69" s="3" t="s">
        <v>52</v>
      </c>
      <c r="D69" s="118"/>
      <c r="E69" s="119"/>
      <c r="F69" s="119"/>
      <c r="G69" s="119"/>
      <c r="H69" s="24">
        <v>3106</v>
      </c>
      <c r="I69" s="25">
        <v>4313</v>
      </c>
      <c r="J69" s="25">
        <v>3696</v>
      </c>
      <c r="K69" s="25">
        <v>927</v>
      </c>
      <c r="L69" s="24">
        <v>845</v>
      </c>
      <c r="M69" s="25">
        <v>768</v>
      </c>
      <c r="N69" s="25">
        <v>499</v>
      </c>
      <c r="O69" s="25">
        <v>973</v>
      </c>
      <c r="P69" s="24">
        <v>4448</v>
      </c>
      <c r="Q69" s="25">
        <v>623</v>
      </c>
      <c r="R69" s="25">
        <v>658</v>
      </c>
      <c r="S69" s="26">
        <v>8662</v>
      </c>
      <c r="T69" s="25"/>
      <c r="U69" s="25"/>
      <c r="V69" s="26"/>
      <c r="W69" s="27"/>
      <c r="X69" s="25">
        <v>4057</v>
      </c>
      <c r="Y69" s="25">
        <f>K69</f>
        <v>927</v>
      </c>
      <c r="Z69" s="25">
        <v>973</v>
      </c>
      <c r="AA69" s="25">
        <f t="shared" si="36"/>
        <v>8662</v>
      </c>
      <c r="AB69" s="25">
        <f t="shared" ref="AB69:AB80" si="37">V69</f>
        <v>0</v>
      </c>
    </row>
    <row r="70" spans="1:28" ht="19.649999999999999" customHeight="1">
      <c r="B70" s="3" t="s">
        <v>53</v>
      </c>
      <c r="D70" s="118"/>
      <c r="E70" s="119"/>
      <c r="F70" s="119"/>
      <c r="G70" s="119"/>
      <c r="H70" s="24">
        <v>515994</v>
      </c>
      <c r="I70" s="25">
        <v>533567</v>
      </c>
      <c r="J70" s="25">
        <v>555512</v>
      </c>
      <c r="K70" s="25">
        <v>553534</v>
      </c>
      <c r="L70" s="24">
        <v>562204</v>
      </c>
      <c r="M70" s="25">
        <v>552885</v>
      </c>
      <c r="N70" s="25">
        <v>549176</v>
      </c>
      <c r="O70" s="25">
        <v>564204</v>
      </c>
      <c r="P70" s="24">
        <v>509845</v>
      </c>
      <c r="Q70" s="25">
        <v>510345</v>
      </c>
      <c r="R70" s="25">
        <v>542450</v>
      </c>
      <c r="S70" s="26">
        <v>566315</v>
      </c>
      <c r="T70" s="25"/>
      <c r="U70" s="25"/>
      <c r="V70" s="26"/>
      <c r="W70" s="27"/>
      <c r="X70" s="25">
        <v>544725</v>
      </c>
      <c r="Y70" s="25">
        <f>+K70</f>
        <v>553534</v>
      </c>
      <c r="Z70" s="25">
        <v>564204</v>
      </c>
      <c r="AA70" s="25">
        <f t="shared" si="36"/>
        <v>566315</v>
      </c>
      <c r="AB70" s="25">
        <f t="shared" si="37"/>
        <v>0</v>
      </c>
    </row>
    <row r="71" spans="1:28" ht="19.649999999999999" customHeight="1">
      <c r="B71" s="3" t="s">
        <v>54</v>
      </c>
      <c r="D71" s="118"/>
      <c r="E71" s="119"/>
      <c r="F71" s="119"/>
      <c r="G71" s="119"/>
      <c r="H71" s="24">
        <v>250775</v>
      </c>
      <c r="I71" s="25">
        <v>253852</v>
      </c>
      <c r="J71" s="25">
        <v>256200</v>
      </c>
      <c r="K71" s="25">
        <v>260056</v>
      </c>
      <c r="L71" s="24">
        <v>268643</v>
      </c>
      <c r="M71" s="25">
        <v>271238</v>
      </c>
      <c r="N71" s="25">
        <v>269086</v>
      </c>
      <c r="O71" s="25">
        <v>272347</v>
      </c>
      <c r="P71" s="24">
        <v>269737</v>
      </c>
      <c r="Q71" s="25">
        <v>268935</v>
      </c>
      <c r="R71" s="25">
        <v>277251</v>
      </c>
      <c r="S71" s="26">
        <v>276575</v>
      </c>
      <c r="T71" s="25"/>
      <c r="U71" s="25"/>
      <c r="V71" s="26"/>
      <c r="W71" s="27"/>
      <c r="X71" s="25">
        <v>249682</v>
      </c>
      <c r="Y71" s="25">
        <f t="shared" ref="Y71:Y80" si="38">K71</f>
        <v>260056</v>
      </c>
      <c r="Z71" s="25">
        <v>272347</v>
      </c>
      <c r="AA71" s="25">
        <f t="shared" si="36"/>
        <v>276575</v>
      </c>
      <c r="AB71" s="25">
        <f t="shared" si="37"/>
        <v>0</v>
      </c>
    </row>
    <row r="72" spans="1:28" ht="19.649999999999999" customHeight="1">
      <c r="B72" s="3" t="s">
        <v>55</v>
      </c>
      <c r="D72" s="118"/>
      <c r="E72" s="119"/>
      <c r="F72" s="119"/>
      <c r="G72" s="119"/>
      <c r="H72" s="24">
        <v>203629</v>
      </c>
      <c r="I72" s="25">
        <v>211814</v>
      </c>
      <c r="J72" s="25">
        <v>240512</v>
      </c>
      <c r="K72" s="25">
        <v>224481</v>
      </c>
      <c r="L72" s="24">
        <v>232360</v>
      </c>
      <c r="M72" s="25">
        <v>227513</v>
      </c>
      <c r="N72" s="25">
        <v>234838</v>
      </c>
      <c r="O72" s="25">
        <v>207092</v>
      </c>
      <c r="P72" s="24">
        <v>206197</v>
      </c>
      <c r="Q72" s="25">
        <v>206803</v>
      </c>
      <c r="R72" s="25">
        <v>234717</v>
      </c>
      <c r="S72" s="26">
        <v>202551</v>
      </c>
      <c r="T72" s="25"/>
      <c r="U72" s="25"/>
      <c r="V72" s="26"/>
      <c r="W72" s="27"/>
      <c r="X72" s="25">
        <v>194171</v>
      </c>
      <c r="Y72" s="25">
        <f t="shared" si="38"/>
        <v>224481</v>
      </c>
      <c r="Z72" s="25">
        <v>207092</v>
      </c>
      <c r="AA72" s="25">
        <f t="shared" si="36"/>
        <v>202551</v>
      </c>
      <c r="AB72" s="25">
        <f t="shared" si="37"/>
        <v>0</v>
      </c>
    </row>
    <row r="73" spans="1:28" ht="19.649999999999999" customHeight="1">
      <c r="B73" s="3" t="s">
        <v>56</v>
      </c>
      <c r="D73" s="118"/>
      <c r="E73" s="119"/>
      <c r="F73" s="119"/>
      <c r="G73" s="119"/>
      <c r="H73" s="24">
        <v>41230</v>
      </c>
      <c r="I73" s="25">
        <v>39460</v>
      </c>
      <c r="J73" s="25">
        <v>41562</v>
      </c>
      <c r="K73" s="25">
        <v>39662</v>
      </c>
      <c r="L73" s="24">
        <v>50077</v>
      </c>
      <c r="M73" s="25">
        <v>46160</v>
      </c>
      <c r="N73" s="25">
        <v>47705</v>
      </c>
      <c r="O73" s="25">
        <v>61032</v>
      </c>
      <c r="P73" s="24">
        <v>54943</v>
      </c>
      <c r="Q73" s="25">
        <v>53250</v>
      </c>
      <c r="R73" s="25">
        <v>60600</v>
      </c>
      <c r="S73" s="26">
        <v>58682</v>
      </c>
      <c r="T73" s="25"/>
      <c r="U73" s="25"/>
      <c r="V73" s="26"/>
      <c r="W73" s="27"/>
      <c r="X73" s="25">
        <v>34317</v>
      </c>
      <c r="Y73" s="25">
        <f t="shared" si="38"/>
        <v>39662</v>
      </c>
      <c r="Z73" s="25">
        <v>61032</v>
      </c>
      <c r="AA73" s="25">
        <f t="shared" si="36"/>
        <v>58682</v>
      </c>
      <c r="AB73" s="25">
        <f t="shared" si="37"/>
        <v>0</v>
      </c>
    </row>
    <row r="74" spans="1:28" ht="19.649999999999999" customHeight="1">
      <c r="A74" s="29"/>
      <c r="B74" s="29"/>
      <c r="C74" s="29" t="s">
        <v>58</v>
      </c>
      <c r="D74" s="120">
        <v>0</v>
      </c>
      <c r="E74" s="121">
        <v>0</v>
      </c>
      <c r="F74" s="121">
        <v>0</v>
      </c>
      <c r="G74" s="121">
        <v>0</v>
      </c>
      <c r="H74" s="30">
        <v>1133329</v>
      </c>
      <c r="I74" s="31">
        <f>SUM(I68:I73)</f>
        <v>1176596</v>
      </c>
      <c r="J74" s="31">
        <v>1234011</v>
      </c>
      <c r="K74" s="31">
        <v>1216382</v>
      </c>
      <c r="L74" s="30">
        <v>1263856</v>
      </c>
      <c r="M74" s="31">
        <f>SUM(M68:M73)</f>
        <v>1278760</v>
      </c>
      <c r="N74" s="31">
        <f>SUM(N68:N73)</f>
        <v>1263976</v>
      </c>
      <c r="O74" s="31">
        <v>1273195</v>
      </c>
      <c r="P74" s="30">
        <f t="shared" ref="P74:Q74" si="39">SUM(P68:P73)</f>
        <v>1232127</v>
      </c>
      <c r="Q74" s="31">
        <f t="shared" si="39"/>
        <v>1224194</v>
      </c>
      <c r="R74" s="31">
        <f>SUM(R68:R73)</f>
        <v>1308830</v>
      </c>
      <c r="S74" s="32">
        <f t="shared" ref="S74:T74" si="40">SUM(S68:S73)</f>
        <v>1239214</v>
      </c>
      <c r="T74" s="31">
        <f t="shared" si="40"/>
        <v>0</v>
      </c>
      <c r="U74" s="31">
        <f>SUM(U68:U73)</f>
        <v>0</v>
      </c>
      <c r="V74" s="32">
        <f t="shared" ref="V74" si="41">SUM(V68:V73)</f>
        <v>0</v>
      </c>
      <c r="W74" s="27"/>
      <c r="X74" s="31">
        <v>1166999</v>
      </c>
      <c r="Y74" s="31">
        <f t="shared" si="38"/>
        <v>1216382</v>
      </c>
      <c r="Z74" s="31">
        <v>1273195</v>
      </c>
      <c r="AA74" s="31">
        <f t="shared" si="36"/>
        <v>1239214</v>
      </c>
      <c r="AB74" s="31">
        <f t="shared" si="37"/>
        <v>0</v>
      </c>
    </row>
    <row r="75" spans="1:28" ht="19.649999999999999" customHeight="1">
      <c r="B75" s="3" t="s">
        <v>59</v>
      </c>
      <c r="D75" s="118"/>
      <c r="E75" s="119"/>
      <c r="F75" s="119"/>
      <c r="G75" s="119"/>
      <c r="H75" s="24">
        <v>270277</v>
      </c>
      <c r="I75" s="25">
        <v>276266</v>
      </c>
      <c r="J75" s="25">
        <v>277778</v>
      </c>
      <c r="K75" s="25">
        <v>276617</v>
      </c>
      <c r="L75" s="24">
        <v>280405</v>
      </c>
      <c r="M75" s="25">
        <v>278171</v>
      </c>
      <c r="N75" s="25">
        <v>279598</v>
      </c>
      <c r="O75" s="25">
        <v>276551</v>
      </c>
      <c r="P75" s="24">
        <v>265117</v>
      </c>
      <c r="Q75" s="25">
        <v>267622</v>
      </c>
      <c r="R75" s="25">
        <v>274912</v>
      </c>
      <c r="S75" s="26">
        <v>271257</v>
      </c>
      <c r="T75" s="25"/>
      <c r="U75" s="25"/>
      <c r="V75" s="26"/>
      <c r="W75" s="27"/>
      <c r="X75" s="25">
        <v>270702</v>
      </c>
      <c r="Y75" s="25">
        <f t="shared" si="38"/>
        <v>276617</v>
      </c>
      <c r="Z75" s="25">
        <v>276551</v>
      </c>
      <c r="AA75" s="25">
        <f t="shared" si="36"/>
        <v>271257</v>
      </c>
      <c r="AB75" s="25">
        <f t="shared" si="37"/>
        <v>0</v>
      </c>
    </row>
    <row r="76" spans="1:28" ht="19.649999999999999" customHeight="1">
      <c r="B76" s="3" t="s">
        <v>54</v>
      </c>
      <c r="D76" s="118"/>
      <c r="E76" s="119"/>
      <c r="F76" s="119"/>
      <c r="G76" s="119"/>
      <c r="H76" s="24">
        <v>560451</v>
      </c>
      <c r="I76" s="25">
        <v>572871</v>
      </c>
      <c r="J76" s="25">
        <v>588888</v>
      </c>
      <c r="K76" s="25">
        <v>601797</v>
      </c>
      <c r="L76" s="24">
        <v>616956</v>
      </c>
      <c r="M76" s="25">
        <v>623984</v>
      </c>
      <c r="N76" s="25">
        <v>625137</v>
      </c>
      <c r="O76" s="25">
        <v>620171</v>
      </c>
      <c r="P76" s="24">
        <v>610370</v>
      </c>
      <c r="Q76" s="25">
        <v>618787</v>
      </c>
      <c r="R76" s="25">
        <v>636416</v>
      </c>
      <c r="S76" s="26">
        <v>655600</v>
      </c>
      <c r="T76" s="25"/>
      <c r="U76" s="25"/>
      <c r="V76" s="26"/>
      <c r="W76" s="27"/>
      <c r="X76" s="25">
        <v>560892</v>
      </c>
      <c r="Y76" s="25">
        <f t="shared" si="38"/>
        <v>601797</v>
      </c>
      <c r="Z76" s="25">
        <v>620171</v>
      </c>
      <c r="AA76" s="25">
        <f t="shared" si="36"/>
        <v>655600</v>
      </c>
      <c r="AB76" s="25">
        <f t="shared" si="37"/>
        <v>0</v>
      </c>
    </row>
    <row r="77" spans="1:28" ht="19.649999999999999" customHeight="1">
      <c r="B77" s="3" t="s">
        <v>61</v>
      </c>
      <c r="D77" s="118"/>
      <c r="E77" s="119"/>
      <c r="F77" s="119"/>
      <c r="G77" s="119"/>
      <c r="H77" s="24">
        <v>393949</v>
      </c>
      <c r="I77" s="25">
        <v>414223</v>
      </c>
      <c r="J77" s="25">
        <v>444668</v>
      </c>
      <c r="K77" s="25">
        <v>435752</v>
      </c>
      <c r="L77" s="24">
        <v>441720</v>
      </c>
      <c r="M77" s="25">
        <v>434506</v>
      </c>
      <c r="N77" s="25">
        <v>432306</v>
      </c>
      <c r="O77" s="25">
        <v>413836</v>
      </c>
      <c r="P77" s="24">
        <v>380787</v>
      </c>
      <c r="Q77" s="25">
        <v>374104</v>
      </c>
      <c r="R77" s="25">
        <v>405615</v>
      </c>
      <c r="S77" s="26">
        <v>388177</v>
      </c>
      <c r="T77" s="25"/>
      <c r="U77" s="25"/>
      <c r="V77" s="26"/>
      <c r="W77" s="27"/>
      <c r="X77" s="25">
        <v>399354</v>
      </c>
      <c r="Y77" s="25">
        <f t="shared" si="38"/>
        <v>435752</v>
      </c>
      <c r="Z77" s="25">
        <v>413836</v>
      </c>
      <c r="AA77" s="25">
        <f t="shared" si="36"/>
        <v>388177</v>
      </c>
      <c r="AB77" s="25">
        <f t="shared" si="37"/>
        <v>0</v>
      </c>
    </row>
    <row r="78" spans="1:28" ht="19.649999999999999" customHeight="1">
      <c r="B78" s="3" t="s">
        <v>62</v>
      </c>
      <c r="D78" s="118"/>
      <c r="E78" s="119"/>
      <c r="F78" s="119"/>
      <c r="G78" s="119"/>
      <c r="H78" s="24">
        <v>198211</v>
      </c>
      <c r="I78" s="25">
        <v>192631</v>
      </c>
      <c r="J78" s="25">
        <v>203498</v>
      </c>
      <c r="K78" s="25">
        <v>199659</v>
      </c>
      <c r="L78" s="24">
        <v>203513</v>
      </c>
      <c r="M78" s="25">
        <v>199974</v>
      </c>
      <c r="N78" s="25">
        <v>193038</v>
      </c>
      <c r="O78" s="25">
        <v>192708</v>
      </c>
      <c r="P78" s="24">
        <v>193758</v>
      </c>
      <c r="Q78" s="25">
        <v>193730</v>
      </c>
      <c r="R78" s="25">
        <v>209133</v>
      </c>
      <c r="S78" s="26">
        <v>205039</v>
      </c>
      <c r="T78" s="25"/>
      <c r="U78" s="25"/>
      <c r="V78" s="26"/>
      <c r="W78" s="27"/>
      <c r="X78" s="25">
        <v>198671</v>
      </c>
      <c r="Y78" s="25">
        <f t="shared" si="38"/>
        <v>199659</v>
      </c>
      <c r="Z78" s="25">
        <v>192708</v>
      </c>
      <c r="AA78" s="25">
        <f t="shared" si="36"/>
        <v>205039</v>
      </c>
      <c r="AB78" s="25">
        <f t="shared" si="37"/>
        <v>0</v>
      </c>
    </row>
    <row r="79" spans="1:28" ht="19.649999999999999" customHeight="1">
      <c r="A79" s="29"/>
      <c r="B79" s="29"/>
      <c r="C79" s="29" t="s">
        <v>63</v>
      </c>
      <c r="D79" s="120">
        <v>0</v>
      </c>
      <c r="E79" s="121">
        <v>0</v>
      </c>
      <c r="F79" s="121">
        <v>0</v>
      </c>
      <c r="G79" s="121">
        <v>0</v>
      </c>
      <c r="H79" s="30">
        <v>1422888</v>
      </c>
      <c r="I79" s="31">
        <f>SUM(I75:I78)</f>
        <v>1455991</v>
      </c>
      <c r="J79" s="31">
        <v>1514832</v>
      </c>
      <c r="K79" s="31">
        <v>1513825</v>
      </c>
      <c r="L79" s="30">
        <v>1542594</v>
      </c>
      <c r="M79" s="31">
        <f>SUM(M75:M78)</f>
        <v>1536635</v>
      </c>
      <c r="N79" s="31">
        <f>SUM(N75:N78)</f>
        <v>1530079</v>
      </c>
      <c r="O79" s="31">
        <v>1503266</v>
      </c>
      <c r="P79" s="30">
        <f t="shared" ref="P79:Q79" si="42">SUM(P75:P78)</f>
        <v>1450032</v>
      </c>
      <c r="Q79" s="31">
        <f t="shared" si="42"/>
        <v>1454243</v>
      </c>
      <c r="R79" s="31">
        <f>SUM(R75:R78)</f>
        <v>1526076</v>
      </c>
      <c r="S79" s="32">
        <f t="shared" ref="S79:T79" si="43">SUM(S75:S78)</f>
        <v>1520073</v>
      </c>
      <c r="T79" s="31">
        <f t="shared" si="43"/>
        <v>0</v>
      </c>
      <c r="U79" s="31">
        <f>SUM(U75:U78)</f>
        <v>0</v>
      </c>
      <c r="V79" s="32">
        <f t="shared" ref="V79" si="44">SUM(V75:V78)</f>
        <v>0</v>
      </c>
      <c r="W79" s="27"/>
      <c r="X79" s="31">
        <v>1429619</v>
      </c>
      <c r="Y79" s="31">
        <f t="shared" si="38"/>
        <v>1513825</v>
      </c>
      <c r="Z79" s="31">
        <v>1503266</v>
      </c>
      <c r="AA79" s="31">
        <f t="shared" si="36"/>
        <v>1520073</v>
      </c>
      <c r="AB79" s="31">
        <f t="shared" si="37"/>
        <v>0</v>
      </c>
    </row>
    <row r="80" spans="1:28" ht="19.649999999999999" customHeight="1" thickBot="1">
      <c r="A80" s="89"/>
      <c r="B80" s="89"/>
      <c r="C80" s="89" t="s">
        <v>64</v>
      </c>
      <c r="D80" s="122">
        <v>0</v>
      </c>
      <c r="E80" s="123">
        <v>0</v>
      </c>
      <c r="F80" s="123">
        <v>0</v>
      </c>
      <c r="G80" s="123">
        <v>0</v>
      </c>
      <c r="H80" s="90">
        <v>2556217</v>
      </c>
      <c r="I80" s="91">
        <f>SUM(I74,I79)</f>
        <v>2632587</v>
      </c>
      <c r="J80" s="91">
        <v>2748843</v>
      </c>
      <c r="K80" s="91">
        <v>2730207</v>
      </c>
      <c r="L80" s="90">
        <v>2806450</v>
      </c>
      <c r="M80" s="91">
        <f>SUM(M74,M79)</f>
        <v>2815395</v>
      </c>
      <c r="N80" s="91">
        <f>SUM(N74,N79)</f>
        <v>2794055</v>
      </c>
      <c r="O80" s="91">
        <v>2776461</v>
      </c>
      <c r="P80" s="90">
        <f t="shared" ref="P80" si="45">SUM(P74,P79)</f>
        <v>2682159</v>
      </c>
      <c r="Q80" s="91">
        <f>SUM(Q74,Q79)</f>
        <v>2678437</v>
      </c>
      <c r="R80" s="91">
        <f t="shared" ref="R80:S80" si="46">SUM(R74,R79)</f>
        <v>2834906</v>
      </c>
      <c r="S80" s="92">
        <f t="shared" si="46"/>
        <v>2759287</v>
      </c>
      <c r="T80" s="91">
        <f>SUM(T74,T79)</f>
        <v>0</v>
      </c>
      <c r="U80" s="91">
        <f t="shared" ref="U80:V80" si="47">SUM(U74,U79)</f>
        <v>0</v>
      </c>
      <c r="V80" s="92">
        <f t="shared" si="47"/>
        <v>0</v>
      </c>
      <c r="W80" s="27"/>
      <c r="X80" s="91">
        <v>2596618</v>
      </c>
      <c r="Y80" s="91">
        <f t="shared" si="38"/>
        <v>2730207</v>
      </c>
      <c r="Z80" s="91">
        <v>2776461</v>
      </c>
      <c r="AA80" s="91">
        <f t="shared" si="36"/>
        <v>2759287</v>
      </c>
      <c r="AB80" s="91">
        <f t="shared" si="37"/>
        <v>0</v>
      </c>
    </row>
    <row r="81" spans="1:28" ht="19.649999999999999" customHeight="1">
      <c r="D81" s="57"/>
      <c r="E81" s="57"/>
      <c r="F81" s="57"/>
      <c r="G81" s="57"/>
      <c r="H81" s="25"/>
      <c r="I81" s="25"/>
      <c r="J81" s="25"/>
      <c r="K81" s="25"/>
      <c r="L81" s="25"/>
      <c r="M81" s="25"/>
      <c r="N81" s="57"/>
      <c r="O81" s="57"/>
      <c r="P81" s="25"/>
      <c r="Q81" s="25"/>
      <c r="R81" s="57"/>
      <c r="S81" s="57"/>
      <c r="T81" s="25"/>
      <c r="U81" s="57"/>
      <c r="V81" s="57"/>
      <c r="W81" s="27"/>
      <c r="X81" s="25"/>
      <c r="Y81" s="25"/>
      <c r="Z81" s="25"/>
      <c r="AA81" s="25"/>
      <c r="AB81" s="25"/>
    </row>
    <row r="82" spans="1:28" ht="27.15" customHeight="1">
      <c r="A82" s="3" t="s">
        <v>65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</row>
    <row r="83" spans="1:28" ht="19.649999999999999" customHeight="1">
      <c r="B83" s="3" t="s">
        <v>66</v>
      </c>
      <c r="D83" s="118"/>
      <c r="E83" s="119"/>
      <c r="F83" s="119"/>
      <c r="G83" s="119"/>
      <c r="H83" s="24">
        <v>330834</v>
      </c>
      <c r="I83" s="25">
        <v>298138</v>
      </c>
      <c r="J83" s="25">
        <v>307965</v>
      </c>
      <c r="K83" s="25">
        <v>222065</v>
      </c>
      <c r="L83" s="24">
        <v>229638</v>
      </c>
      <c r="M83" s="25">
        <v>222069</v>
      </c>
      <c r="N83" s="25">
        <v>272504</v>
      </c>
      <c r="O83" s="25">
        <v>260755</v>
      </c>
      <c r="P83" s="24">
        <v>297118</v>
      </c>
      <c r="Q83" s="25">
        <v>286664</v>
      </c>
      <c r="R83" s="25">
        <v>345100</v>
      </c>
      <c r="S83" s="26">
        <v>229944</v>
      </c>
      <c r="T83" s="25"/>
      <c r="U83" s="25"/>
      <c r="V83" s="26"/>
      <c r="W83" s="27"/>
      <c r="X83" s="25">
        <v>271768</v>
      </c>
      <c r="Y83" s="25">
        <f t="shared" ref="Y83:Y99" si="48">K83</f>
        <v>222065</v>
      </c>
      <c r="Z83" s="25">
        <v>260755</v>
      </c>
      <c r="AA83" s="25">
        <f t="shared" ref="AA83:AA99" si="49">S83</f>
        <v>229944</v>
      </c>
      <c r="AB83" s="25">
        <f t="shared" ref="AB83:AB99" si="50">V83</f>
        <v>0</v>
      </c>
    </row>
    <row r="84" spans="1:28" ht="19.649999999999999" customHeight="1">
      <c r="B84" s="3" t="s">
        <v>67</v>
      </c>
      <c r="D84" s="118"/>
      <c r="E84" s="119"/>
      <c r="F84" s="119"/>
      <c r="G84" s="119"/>
      <c r="H84" s="24">
        <v>247402</v>
      </c>
      <c r="I84" s="25">
        <v>245725</v>
      </c>
      <c r="J84" s="25">
        <v>249256</v>
      </c>
      <c r="K84" s="25">
        <v>276986</v>
      </c>
      <c r="L84" s="24">
        <v>255535</v>
      </c>
      <c r="M84" s="25">
        <v>255582</v>
      </c>
      <c r="N84" s="25">
        <v>245952</v>
      </c>
      <c r="O84" s="25">
        <v>286123</v>
      </c>
      <c r="P84" s="24">
        <v>266030</v>
      </c>
      <c r="Q84" s="25">
        <v>266261</v>
      </c>
      <c r="R84" s="25">
        <v>275110</v>
      </c>
      <c r="S84" s="26">
        <v>295788</v>
      </c>
      <c r="T84" s="25"/>
      <c r="U84" s="25"/>
      <c r="V84" s="26"/>
      <c r="W84" s="27"/>
      <c r="X84" s="25">
        <v>281957</v>
      </c>
      <c r="Y84" s="25">
        <f t="shared" si="48"/>
        <v>276986</v>
      </c>
      <c r="Z84" s="25">
        <v>286123</v>
      </c>
      <c r="AA84" s="25">
        <f t="shared" si="49"/>
        <v>295788</v>
      </c>
      <c r="AB84" s="25">
        <f t="shared" si="50"/>
        <v>0</v>
      </c>
    </row>
    <row r="85" spans="1:28" ht="19.649999999999999" customHeight="1">
      <c r="B85" s="3" t="s">
        <v>69</v>
      </c>
      <c r="D85" s="118"/>
      <c r="E85" s="119"/>
      <c r="F85" s="119"/>
      <c r="G85" s="119"/>
      <c r="H85" s="24">
        <v>285889</v>
      </c>
      <c r="I85" s="25">
        <v>276677</v>
      </c>
      <c r="J85" s="25">
        <v>273577</v>
      </c>
      <c r="K85" s="25">
        <v>273088</v>
      </c>
      <c r="L85" s="24">
        <v>288064</v>
      </c>
      <c r="M85" s="25">
        <v>316822</v>
      </c>
      <c r="N85" s="25">
        <v>259994</v>
      </c>
      <c r="O85" s="25">
        <v>259990</v>
      </c>
      <c r="P85" s="24">
        <v>244481</v>
      </c>
      <c r="Q85" s="25">
        <v>229775</v>
      </c>
      <c r="R85" s="25">
        <v>268412</v>
      </c>
      <c r="S85" s="26">
        <v>281192</v>
      </c>
      <c r="T85" s="25"/>
      <c r="U85" s="25"/>
      <c r="V85" s="26"/>
      <c r="W85" s="27"/>
      <c r="X85" s="25">
        <v>281966</v>
      </c>
      <c r="Y85" s="25">
        <f t="shared" si="48"/>
        <v>273088</v>
      </c>
      <c r="Z85" s="25">
        <v>259990</v>
      </c>
      <c r="AA85" s="25">
        <f t="shared" si="49"/>
        <v>281192</v>
      </c>
      <c r="AB85" s="25">
        <f t="shared" si="50"/>
        <v>0</v>
      </c>
    </row>
    <row r="86" spans="1:28" ht="19.649999999999999" customHeight="1">
      <c r="A86" s="29"/>
      <c r="B86" s="29"/>
      <c r="C86" s="29" t="s">
        <v>71</v>
      </c>
      <c r="D86" s="120">
        <v>0</v>
      </c>
      <c r="E86" s="121">
        <v>0</v>
      </c>
      <c r="F86" s="121">
        <v>0</v>
      </c>
      <c r="G86" s="121">
        <v>0</v>
      </c>
      <c r="H86" s="30">
        <v>864125</v>
      </c>
      <c r="I86" s="31">
        <f>SUM(I83:I85)</f>
        <v>820540</v>
      </c>
      <c r="J86" s="31">
        <v>830798</v>
      </c>
      <c r="K86" s="31">
        <v>772139</v>
      </c>
      <c r="L86" s="30">
        <v>773237</v>
      </c>
      <c r="M86" s="31">
        <f>SUM(M83:M85)</f>
        <v>794473</v>
      </c>
      <c r="N86" s="31">
        <f>SUM(N83:N85)</f>
        <v>778450</v>
      </c>
      <c r="O86" s="31">
        <v>806868</v>
      </c>
      <c r="P86" s="30">
        <f t="shared" ref="P86" si="51">SUM(P83:P85)</f>
        <v>807629</v>
      </c>
      <c r="Q86" s="31">
        <f>SUM(Q83:Q85)</f>
        <v>782700</v>
      </c>
      <c r="R86" s="31">
        <f t="shared" ref="R86:S86" si="52">SUM(R83:R85)</f>
        <v>888622</v>
      </c>
      <c r="S86" s="32">
        <f t="shared" si="52"/>
        <v>806924</v>
      </c>
      <c r="T86" s="31">
        <f>SUM(T83:T85)</f>
        <v>0</v>
      </c>
      <c r="U86" s="31">
        <f t="shared" ref="U86:V86" si="53">SUM(U83:U85)</f>
        <v>0</v>
      </c>
      <c r="V86" s="32">
        <f t="shared" si="53"/>
        <v>0</v>
      </c>
      <c r="W86" s="27"/>
      <c r="X86" s="31">
        <v>835691</v>
      </c>
      <c r="Y86" s="31">
        <f t="shared" si="48"/>
        <v>772139</v>
      </c>
      <c r="Z86" s="31">
        <v>806868</v>
      </c>
      <c r="AA86" s="31">
        <f t="shared" si="49"/>
        <v>806924</v>
      </c>
      <c r="AB86" s="31">
        <f t="shared" si="50"/>
        <v>0</v>
      </c>
    </row>
    <row r="87" spans="1:28" ht="19.649999999999999" customHeight="1">
      <c r="B87" s="3" t="s">
        <v>66</v>
      </c>
      <c r="D87" s="118"/>
      <c r="E87" s="119"/>
      <c r="F87" s="119"/>
      <c r="G87" s="119"/>
      <c r="H87" s="24">
        <v>392441</v>
      </c>
      <c r="I87" s="25">
        <v>475548</v>
      </c>
      <c r="J87" s="25">
        <v>511932</v>
      </c>
      <c r="K87" s="25">
        <v>568515</v>
      </c>
      <c r="L87" s="24">
        <v>614513</v>
      </c>
      <c r="M87" s="25">
        <v>615072</v>
      </c>
      <c r="N87" s="25">
        <v>612956</v>
      </c>
      <c r="O87" s="25">
        <v>592045</v>
      </c>
      <c r="P87" s="24">
        <v>584341</v>
      </c>
      <c r="Q87" s="25">
        <v>619196</v>
      </c>
      <c r="R87" s="25">
        <v>599899</v>
      </c>
      <c r="S87" s="26">
        <v>629799</v>
      </c>
      <c r="T87" s="25"/>
      <c r="U87" s="25"/>
      <c r="V87" s="26"/>
      <c r="W87" s="27"/>
      <c r="X87" s="25">
        <v>452396</v>
      </c>
      <c r="Y87" s="25">
        <f t="shared" si="48"/>
        <v>568515</v>
      </c>
      <c r="Z87" s="25">
        <v>592045</v>
      </c>
      <c r="AA87" s="25">
        <f t="shared" si="49"/>
        <v>629799</v>
      </c>
      <c r="AB87" s="25">
        <f t="shared" si="50"/>
        <v>0</v>
      </c>
    </row>
    <row r="88" spans="1:28" ht="19.649999999999999" customHeight="1">
      <c r="B88" s="3" t="s">
        <v>72</v>
      </c>
      <c r="D88" s="118"/>
      <c r="E88" s="119"/>
      <c r="F88" s="119"/>
      <c r="G88" s="119"/>
      <c r="H88" s="24">
        <v>119502</v>
      </c>
      <c r="I88" s="25">
        <v>115694</v>
      </c>
      <c r="J88" s="25">
        <v>134668</v>
      </c>
      <c r="K88" s="25">
        <v>144153</v>
      </c>
      <c r="L88" s="24">
        <v>143926</v>
      </c>
      <c r="M88" s="25">
        <v>136584</v>
      </c>
      <c r="N88" s="25">
        <v>132598</v>
      </c>
      <c r="O88" s="25">
        <v>139049</v>
      </c>
      <c r="P88" s="24">
        <v>130262</v>
      </c>
      <c r="Q88" s="25">
        <v>125970</v>
      </c>
      <c r="R88" s="25">
        <v>132893</v>
      </c>
      <c r="S88" s="26">
        <v>120725</v>
      </c>
      <c r="T88" s="25"/>
      <c r="U88" s="25"/>
      <c r="V88" s="26"/>
      <c r="W88" s="27"/>
      <c r="X88" s="25">
        <v>124554</v>
      </c>
      <c r="Y88" s="25">
        <f t="shared" si="48"/>
        <v>144153</v>
      </c>
      <c r="Z88" s="25">
        <v>139049</v>
      </c>
      <c r="AA88" s="25">
        <f t="shared" si="49"/>
        <v>120725</v>
      </c>
      <c r="AB88" s="25">
        <f t="shared" si="50"/>
        <v>0</v>
      </c>
    </row>
    <row r="89" spans="1:28" ht="19.649999999999999" customHeight="1">
      <c r="A89" s="79"/>
      <c r="B89" s="79" t="s">
        <v>73</v>
      </c>
      <c r="C89" s="79"/>
      <c r="D89" s="118"/>
      <c r="E89" s="119"/>
      <c r="F89" s="119"/>
      <c r="G89" s="119"/>
      <c r="H89" s="24">
        <v>91525</v>
      </c>
      <c r="I89" s="25">
        <v>88829</v>
      </c>
      <c r="J89" s="25">
        <v>92790</v>
      </c>
      <c r="K89" s="25">
        <v>91088</v>
      </c>
      <c r="L89" s="24">
        <v>92686</v>
      </c>
      <c r="M89" s="25">
        <v>92512</v>
      </c>
      <c r="N89" s="25">
        <v>90263</v>
      </c>
      <c r="O89" s="25">
        <v>90735</v>
      </c>
      <c r="P89" s="24">
        <v>90138</v>
      </c>
      <c r="Q89" s="25">
        <v>90290</v>
      </c>
      <c r="R89" s="25">
        <v>83556</v>
      </c>
      <c r="S89" s="26">
        <v>84962</v>
      </c>
      <c r="T89" s="25"/>
      <c r="U89" s="25"/>
      <c r="V89" s="26"/>
      <c r="W89" s="27"/>
      <c r="X89" s="25">
        <v>89581</v>
      </c>
      <c r="Y89" s="25">
        <f t="shared" si="48"/>
        <v>91088</v>
      </c>
      <c r="Z89" s="25">
        <v>90735</v>
      </c>
      <c r="AA89" s="25">
        <f t="shared" si="49"/>
        <v>84962</v>
      </c>
      <c r="AB89" s="25">
        <f t="shared" si="50"/>
        <v>0</v>
      </c>
    </row>
    <row r="90" spans="1:28" ht="19.649999999999999" customHeight="1">
      <c r="A90" s="29"/>
      <c r="B90" s="29"/>
      <c r="C90" s="29" t="s">
        <v>74</v>
      </c>
      <c r="D90" s="120">
        <v>0</v>
      </c>
      <c r="E90" s="121">
        <v>0</v>
      </c>
      <c r="F90" s="121">
        <v>0</v>
      </c>
      <c r="G90" s="121">
        <v>0</v>
      </c>
      <c r="H90" s="30">
        <v>603468</v>
      </c>
      <c r="I90" s="31">
        <f>SUM(I87:I89)</f>
        <v>680071</v>
      </c>
      <c r="J90" s="31">
        <v>739390</v>
      </c>
      <c r="K90" s="31">
        <v>803756</v>
      </c>
      <c r="L90" s="30">
        <v>851125</v>
      </c>
      <c r="M90" s="31">
        <f>SUM(M87:M89)</f>
        <v>844168</v>
      </c>
      <c r="N90" s="31">
        <f>SUM(N87:N89)</f>
        <v>835817</v>
      </c>
      <c r="O90" s="31">
        <v>821829</v>
      </c>
      <c r="P90" s="30">
        <f t="shared" ref="P90" si="54">SUM(P87:P89)</f>
        <v>804741</v>
      </c>
      <c r="Q90" s="31">
        <f>SUM(Q87:Q89)</f>
        <v>835456</v>
      </c>
      <c r="R90" s="31">
        <f t="shared" ref="R90:S90" si="55">SUM(R87:R89)</f>
        <v>816348</v>
      </c>
      <c r="S90" s="32">
        <f t="shared" si="55"/>
        <v>835486</v>
      </c>
      <c r="T90" s="31">
        <f>SUM(T87:T89)</f>
        <v>0</v>
      </c>
      <c r="U90" s="31">
        <f t="shared" ref="U90:V90" si="56">SUM(U87:U89)</f>
        <v>0</v>
      </c>
      <c r="V90" s="32">
        <f t="shared" si="56"/>
        <v>0</v>
      </c>
      <c r="W90" s="27"/>
      <c r="X90" s="31">
        <v>666531</v>
      </c>
      <c r="Y90" s="31">
        <f t="shared" si="48"/>
        <v>803756</v>
      </c>
      <c r="Z90" s="31">
        <v>821829</v>
      </c>
      <c r="AA90" s="31">
        <f t="shared" si="49"/>
        <v>835486</v>
      </c>
      <c r="AB90" s="31">
        <f t="shared" si="50"/>
        <v>0</v>
      </c>
    </row>
    <row r="91" spans="1:28" ht="19.649999999999999" customHeight="1">
      <c r="B91" s="3" t="s">
        <v>75</v>
      </c>
      <c r="D91" s="118"/>
      <c r="E91" s="119"/>
      <c r="F91" s="119"/>
      <c r="G91" s="119"/>
      <c r="H91" s="24">
        <v>135364</v>
      </c>
      <c r="I91" s="25">
        <v>135364</v>
      </c>
      <c r="J91" s="25">
        <v>135364</v>
      </c>
      <c r="K91" s="25">
        <v>135364</v>
      </c>
      <c r="L91" s="24">
        <v>135364</v>
      </c>
      <c r="M91" s="25">
        <v>135364</v>
      </c>
      <c r="N91" s="25">
        <v>135364</v>
      </c>
      <c r="O91" s="25">
        <v>135364</v>
      </c>
      <c r="P91" s="24">
        <v>135364</v>
      </c>
      <c r="Q91" s="25">
        <v>135364</v>
      </c>
      <c r="R91" s="25">
        <v>135364</v>
      </c>
      <c r="S91" s="26">
        <v>135364</v>
      </c>
      <c r="T91" s="25"/>
      <c r="U91" s="25"/>
      <c r="V91" s="26"/>
      <c r="W91" s="27"/>
      <c r="X91" s="25">
        <v>135364</v>
      </c>
      <c r="Y91" s="25">
        <f t="shared" si="48"/>
        <v>135364</v>
      </c>
      <c r="Z91" s="25">
        <v>135364</v>
      </c>
      <c r="AA91" s="25">
        <f t="shared" si="49"/>
        <v>135364</v>
      </c>
      <c r="AB91" s="25">
        <f t="shared" si="50"/>
        <v>0</v>
      </c>
    </row>
    <row r="92" spans="1:28" ht="19.649999999999999" customHeight="1">
      <c r="B92" s="3" t="s">
        <v>76</v>
      </c>
      <c r="D92" s="118"/>
      <c r="E92" s="119"/>
      <c r="F92" s="119"/>
      <c r="G92" s="119"/>
      <c r="H92" s="24">
        <v>186083</v>
      </c>
      <c r="I92" s="25">
        <v>186083</v>
      </c>
      <c r="J92" s="25">
        <v>186083</v>
      </c>
      <c r="K92" s="25">
        <v>186083</v>
      </c>
      <c r="L92" s="24">
        <v>186083</v>
      </c>
      <c r="M92" s="25">
        <v>186423</v>
      </c>
      <c r="N92" s="25">
        <v>186423</v>
      </c>
      <c r="O92" s="25">
        <v>186423</v>
      </c>
      <c r="P92" s="24">
        <v>186423</v>
      </c>
      <c r="Q92" s="25">
        <v>186423</v>
      </c>
      <c r="R92" s="25">
        <v>186423</v>
      </c>
      <c r="S92" s="26">
        <v>186423</v>
      </c>
      <c r="T92" s="25"/>
      <c r="U92" s="25"/>
      <c r="V92" s="26"/>
      <c r="W92" s="27"/>
      <c r="X92" s="25">
        <v>186083</v>
      </c>
      <c r="Y92" s="25">
        <f t="shared" si="48"/>
        <v>186083</v>
      </c>
      <c r="Z92" s="25">
        <v>186423</v>
      </c>
      <c r="AA92" s="25">
        <f t="shared" si="49"/>
        <v>186423</v>
      </c>
      <c r="AB92" s="25">
        <f t="shared" si="50"/>
        <v>0</v>
      </c>
    </row>
    <row r="93" spans="1:28" ht="19.649999999999999" customHeight="1">
      <c r="B93" s="3" t="s">
        <v>79</v>
      </c>
      <c r="D93" s="118"/>
      <c r="E93" s="119"/>
      <c r="F93" s="119"/>
      <c r="G93" s="119"/>
      <c r="H93" s="24">
        <v>628460</v>
      </c>
      <c r="I93" s="25">
        <v>647357</v>
      </c>
      <c r="J93" s="25">
        <v>642927</v>
      </c>
      <c r="K93" s="25">
        <v>646468</v>
      </c>
      <c r="L93" s="24">
        <v>647131</v>
      </c>
      <c r="M93" s="25">
        <v>668688</v>
      </c>
      <c r="N93" s="25">
        <v>674379</v>
      </c>
      <c r="O93" s="25">
        <v>678424</v>
      </c>
      <c r="P93" s="24">
        <v>670509</v>
      </c>
      <c r="Q93" s="25">
        <v>670588</v>
      </c>
      <c r="R93" s="25">
        <v>653388</v>
      </c>
      <c r="S93" s="26">
        <v>657443</v>
      </c>
      <c r="T93" s="25"/>
      <c r="U93" s="25"/>
      <c r="V93" s="26"/>
      <c r="W93" s="27"/>
      <c r="X93" s="25">
        <v>625340</v>
      </c>
      <c r="Y93" s="25">
        <f t="shared" si="48"/>
        <v>646468</v>
      </c>
      <c r="Z93" s="25">
        <v>678424</v>
      </c>
      <c r="AA93" s="25">
        <f t="shared" si="49"/>
        <v>657443</v>
      </c>
      <c r="AB93" s="25">
        <f t="shared" si="50"/>
        <v>0</v>
      </c>
    </row>
    <row r="94" spans="1:28" ht="19.649999999999999" customHeight="1">
      <c r="B94" s="3" t="s">
        <v>78</v>
      </c>
      <c r="D94" s="124"/>
      <c r="E94" s="125"/>
      <c r="F94" s="125"/>
      <c r="G94" s="125"/>
      <c r="H94" s="61">
        <v>110225</v>
      </c>
      <c r="I94" s="27">
        <v>132893</v>
      </c>
      <c r="J94" s="27">
        <v>182223</v>
      </c>
      <c r="K94" s="27">
        <v>153547</v>
      </c>
      <c r="L94" s="61">
        <v>179746</v>
      </c>
      <c r="M94" s="27">
        <v>154033</v>
      </c>
      <c r="N94" s="27">
        <v>150638</v>
      </c>
      <c r="O94" s="27">
        <v>114914</v>
      </c>
      <c r="P94" s="61">
        <v>44270</v>
      </c>
      <c r="Q94" s="27">
        <v>33282</v>
      </c>
      <c r="R94" s="27">
        <v>118610</v>
      </c>
      <c r="S94" s="62">
        <v>100194</v>
      </c>
      <c r="T94" s="27"/>
      <c r="U94" s="27"/>
      <c r="V94" s="62"/>
      <c r="W94" s="27"/>
      <c r="X94" s="27">
        <v>119904</v>
      </c>
      <c r="Y94" s="27">
        <f t="shared" si="48"/>
        <v>153547</v>
      </c>
      <c r="Z94" s="27">
        <v>114914</v>
      </c>
      <c r="AA94" s="27">
        <f t="shared" si="49"/>
        <v>100194</v>
      </c>
      <c r="AB94" s="27">
        <f t="shared" si="50"/>
        <v>0</v>
      </c>
    </row>
    <row r="95" spans="1:28" ht="19.649999999999999" customHeight="1">
      <c r="A95" s="79"/>
      <c r="B95" s="79" t="s">
        <v>77</v>
      </c>
      <c r="C95" s="79"/>
      <c r="D95" s="126"/>
      <c r="E95" s="127"/>
      <c r="F95" s="127"/>
      <c r="G95" s="127"/>
      <c r="H95" s="95">
        <v>-37284</v>
      </c>
      <c r="I95" s="96">
        <v>-37287</v>
      </c>
      <c r="J95" s="96">
        <v>-37291</v>
      </c>
      <c r="K95" s="96">
        <v>-37295</v>
      </c>
      <c r="L95" s="95">
        <v>-37299</v>
      </c>
      <c r="M95" s="96">
        <v>-37304</v>
      </c>
      <c r="N95" s="96">
        <v>-37310</v>
      </c>
      <c r="O95" s="96">
        <v>-37312</v>
      </c>
      <c r="P95" s="95">
        <v>-37313</v>
      </c>
      <c r="Q95" s="96">
        <v>-37314</v>
      </c>
      <c r="R95" s="96">
        <v>-37315</v>
      </c>
      <c r="S95" s="97">
        <v>-37318</v>
      </c>
      <c r="T95" s="96"/>
      <c r="U95" s="96"/>
      <c r="V95" s="97"/>
      <c r="W95" s="27"/>
      <c r="X95" s="96">
        <v>-37278</v>
      </c>
      <c r="Y95" s="96">
        <f t="shared" si="48"/>
        <v>-37295</v>
      </c>
      <c r="Z95" s="96">
        <v>-37312</v>
      </c>
      <c r="AA95" s="96">
        <f t="shared" si="49"/>
        <v>-37318</v>
      </c>
      <c r="AB95" s="96">
        <f t="shared" si="50"/>
        <v>0</v>
      </c>
    </row>
    <row r="96" spans="1:28" ht="19.649999999999999" customHeight="1">
      <c r="A96" s="79"/>
      <c r="B96" s="79"/>
      <c r="C96" s="79" t="s">
        <v>80</v>
      </c>
      <c r="D96" s="128">
        <v>0</v>
      </c>
      <c r="E96" s="129">
        <v>0</v>
      </c>
      <c r="F96" s="129">
        <v>0</v>
      </c>
      <c r="G96" s="129">
        <v>0</v>
      </c>
      <c r="H96" s="98">
        <v>1022848</v>
      </c>
      <c r="I96" s="88">
        <f>SUM(I91:I95)</f>
        <v>1064410</v>
      </c>
      <c r="J96" s="88">
        <v>1109306</v>
      </c>
      <c r="K96" s="88">
        <v>1084167</v>
      </c>
      <c r="L96" s="98">
        <v>1111025</v>
      </c>
      <c r="M96" s="88">
        <f>SUM(M91:M95)</f>
        <v>1107204</v>
      </c>
      <c r="N96" s="88">
        <f>SUM(N91:N95)</f>
        <v>1109494</v>
      </c>
      <c r="O96" s="88">
        <v>1077813</v>
      </c>
      <c r="P96" s="98">
        <f t="shared" ref="P96" si="57">SUM(P91:P95)</f>
        <v>999253</v>
      </c>
      <c r="Q96" s="88">
        <f>SUM(Q91:Q95)</f>
        <v>988343</v>
      </c>
      <c r="R96" s="88">
        <f t="shared" ref="R96:S96" si="58">SUM(R91:R95)</f>
        <v>1056470</v>
      </c>
      <c r="S96" s="99">
        <f t="shared" si="58"/>
        <v>1042106</v>
      </c>
      <c r="T96" s="88">
        <f>SUM(T91:T95)</f>
        <v>0</v>
      </c>
      <c r="U96" s="88">
        <f t="shared" ref="U96:V96" si="59">SUM(U91:U95)</f>
        <v>0</v>
      </c>
      <c r="V96" s="99">
        <f t="shared" si="59"/>
        <v>0</v>
      </c>
      <c r="W96" s="27"/>
      <c r="X96" s="88">
        <v>1029413</v>
      </c>
      <c r="Y96" s="88">
        <f t="shared" si="48"/>
        <v>1084167</v>
      </c>
      <c r="Z96" s="88">
        <v>1077813</v>
      </c>
      <c r="AA96" s="88">
        <f t="shared" si="49"/>
        <v>1042106</v>
      </c>
      <c r="AB96" s="88">
        <f t="shared" si="50"/>
        <v>0</v>
      </c>
    </row>
    <row r="97" spans="1:28" ht="19.649999999999999" customHeight="1">
      <c r="A97" s="29"/>
      <c r="B97" s="29" t="s">
        <v>81</v>
      </c>
      <c r="C97" s="29"/>
      <c r="D97" s="130"/>
      <c r="E97" s="131"/>
      <c r="F97" s="131"/>
      <c r="G97" s="131"/>
      <c r="H97" s="100">
        <v>65776</v>
      </c>
      <c r="I97" s="101">
        <v>67566</v>
      </c>
      <c r="J97" s="101">
        <v>69349</v>
      </c>
      <c r="K97" s="101">
        <v>70145</v>
      </c>
      <c r="L97" s="100">
        <v>71063</v>
      </c>
      <c r="M97" s="101">
        <v>69550</v>
      </c>
      <c r="N97" s="101">
        <v>70294</v>
      </c>
      <c r="O97" s="101">
        <v>69951</v>
      </c>
      <c r="P97" s="100">
        <v>70536</v>
      </c>
      <c r="Q97" s="101">
        <v>71938</v>
      </c>
      <c r="R97" s="101">
        <v>73466</v>
      </c>
      <c r="S97" s="102">
        <v>74771</v>
      </c>
      <c r="T97" s="101"/>
      <c r="U97" s="101"/>
      <c r="V97" s="102"/>
      <c r="W97" s="27"/>
      <c r="X97" s="101">
        <v>64983</v>
      </c>
      <c r="Y97" s="101">
        <f t="shared" si="48"/>
        <v>70145</v>
      </c>
      <c r="Z97" s="101">
        <v>69951</v>
      </c>
      <c r="AA97" s="101">
        <f t="shared" si="49"/>
        <v>74771</v>
      </c>
      <c r="AB97" s="101">
        <f t="shared" si="50"/>
        <v>0</v>
      </c>
    </row>
    <row r="98" spans="1:28" ht="19.649999999999999" customHeight="1">
      <c r="C98" s="3" t="s">
        <v>82</v>
      </c>
      <c r="D98" s="132">
        <v>0</v>
      </c>
      <c r="E98" s="133">
        <v>0</v>
      </c>
      <c r="F98" s="133">
        <v>0</v>
      </c>
      <c r="G98" s="133">
        <v>0</v>
      </c>
      <c r="H98" s="24">
        <v>1088624</v>
      </c>
      <c r="I98" s="25">
        <f>SUM(I96:I97)</f>
        <v>1131976</v>
      </c>
      <c r="J98" s="25">
        <v>1178655</v>
      </c>
      <c r="K98" s="25">
        <v>1154312</v>
      </c>
      <c r="L98" s="24">
        <v>1182088</v>
      </c>
      <c r="M98" s="25">
        <f>SUM(M96:M97)</f>
        <v>1176754</v>
      </c>
      <c r="N98" s="25">
        <f>SUM(N96:N97)</f>
        <v>1179788</v>
      </c>
      <c r="O98" s="25">
        <v>1147764</v>
      </c>
      <c r="P98" s="24">
        <f t="shared" ref="P98" si="60">SUM(P96:P97)</f>
        <v>1069789</v>
      </c>
      <c r="Q98" s="25">
        <f>SUM(Q96:Q97)</f>
        <v>1060281</v>
      </c>
      <c r="R98" s="25">
        <f t="shared" ref="R98:S98" si="61">SUM(R96:R97)</f>
        <v>1129936</v>
      </c>
      <c r="S98" s="26">
        <f t="shared" si="61"/>
        <v>1116877</v>
      </c>
      <c r="T98" s="25">
        <f>SUM(T96:T97)</f>
        <v>0</v>
      </c>
      <c r="U98" s="25">
        <f t="shared" ref="U98:V98" si="62">SUM(U96:U97)</f>
        <v>0</v>
      </c>
      <c r="V98" s="26">
        <f t="shared" si="62"/>
        <v>0</v>
      </c>
      <c r="W98" s="27"/>
      <c r="X98" s="28">
        <v>1094396</v>
      </c>
      <c r="Y98" s="28">
        <f t="shared" si="48"/>
        <v>1154312</v>
      </c>
      <c r="Z98" s="28">
        <v>1147764</v>
      </c>
      <c r="AA98" s="28">
        <f t="shared" si="49"/>
        <v>1116877</v>
      </c>
      <c r="AB98" s="28">
        <f t="shared" si="50"/>
        <v>0</v>
      </c>
    </row>
    <row r="99" spans="1:28" ht="19.649999999999999" customHeight="1" thickBot="1">
      <c r="A99" s="89"/>
      <c r="B99" s="89"/>
      <c r="C99" s="89" t="s">
        <v>83</v>
      </c>
      <c r="D99" s="122">
        <v>0</v>
      </c>
      <c r="E99" s="123">
        <v>0</v>
      </c>
      <c r="F99" s="123">
        <v>0</v>
      </c>
      <c r="G99" s="123">
        <v>0</v>
      </c>
      <c r="H99" s="90">
        <v>2556217</v>
      </c>
      <c r="I99" s="91">
        <f>SUM(I86,I90,I98)</f>
        <v>2632587</v>
      </c>
      <c r="J99" s="91">
        <v>2748843</v>
      </c>
      <c r="K99" s="91">
        <v>2730207</v>
      </c>
      <c r="L99" s="90">
        <v>2806207</v>
      </c>
      <c r="M99" s="91">
        <f>SUM(M86,M90,M98)</f>
        <v>2815395</v>
      </c>
      <c r="N99" s="91">
        <f>SUM(N86,N90,N98)</f>
        <v>2794055</v>
      </c>
      <c r="O99" s="91">
        <v>2776461</v>
      </c>
      <c r="P99" s="90">
        <f t="shared" ref="P99" si="63">SUM(P86,P90,P98)</f>
        <v>2682159</v>
      </c>
      <c r="Q99" s="91">
        <f>SUM(Q86,Q90,Q98)</f>
        <v>2678437</v>
      </c>
      <c r="R99" s="91">
        <f t="shared" ref="R99:S99" si="64">SUM(R86,R90,R98)</f>
        <v>2834906</v>
      </c>
      <c r="S99" s="92">
        <f t="shared" si="64"/>
        <v>2759287</v>
      </c>
      <c r="T99" s="91">
        <f>SUM(T86,T90,T98)</f>
        <v>0</v>
      </c>
      <c r="U99" s="91">
        <f t="shared" ref="U99:V99" si="65">SUM(U86,U90,U98)</f>
        <v>0</v>
      </c>
      <c r="V99" s="92">
        <f t="shared" si="65"/>
        <v>0</v>
      </c>
      <c r="W99" s="27"/>
      <c r="X99" s="91">
        <v>2596618</v>
      </c>
      <c r="Y99" s="91">
        <f t="shared" si="48"/>
        <v>2730207</v>
      </c>
      <c r="Z99" s="91">
        <v>2776461</v>
      </c>
      <c r="AA99" s="91">
        <f t="shared" si="49"/>
        <v>2759287</v>
      </c>
      <c r="AB99" s="91">
        <f t="shared" si="50"/>
        <v>0</v>
      </c>
    </row>
    <row r="102" spans="1:28" s="4" customFormat="1">
      <c r="A102" s="1" t="s">
        <v>84</v>
      </c>
      <c r="B102" s="1"/>
      <c r="C102" s="1"/>
    </row>
    <row r="104" spans="1:28">
      <c r="A104" s="5"/>
      <c r="B104" s="5"/>
      <c r="C104" s="5"/>
      <c r="D104" s="6"/>
      <c r="E104" s="5"/>
      <c r="F104" s="5"/>
      <c r="G104" s="5"/>
      <c r="H104" s="6"/>
      <c r="I104" s="5"/>
      <c r="J104" s="5"/>
      <c r="K104" s="5"/>
      <c r="L104" s="6"/>
      <c r="M104" s="5"/>
      <c r="N104" s="5"/>
      <c r="O104" s="5"/>
      <c r="P104" s="6"/>
      <c r="Q104" s="5"/>
      <c r="R104" s="5"/>
      <c r="S104" s="7"/>
      <c r="T104" s="5"/>
      <c r="U104" s="5"/>
      <c r="V104" s="7"/>
      <c r="X104" s="5"/>
      <c r="Y104" s="5"/>
      <c r="Z104" s="5"/>
      <c r="AA104" s="5"/>
      <c r="AB104" s="5"/>
    </row>
    <row r="105" spans="1:28">
      <c r="D105" s="103" t="str">
        <f>D4</f>
        <v>FY2013</v>
      </c>
      <c r="E105" s="79"/>
      <c r="F105" s="79"/>
      <c r="G105" s="79"/>
      <c r="H105" s="103" t="str">
        <f>H4</f>
        <v>FY2014</v>
      </c>
      <c r="I105" s="79"/>
      <c r="J105" s="79"/>
      <c r="K105" s="79"/>
      <c r="L105" s="103" t="str">
        <f>L4</f>
        <v>FY2015</v>
      </c>
      <c r="M105" s="79"/>
      <c r="N105" s="79"/>
      <c r="O105" s="79"/>
      <c r="P105" s="103" t="str">
        <f>P4</f>
        <v>FY2016</v>
      </c>
      <c r="Q105" s="79"/>
      <c r="R105" s="79"/>
      <c r="S105" s="80"/>
      <c r="T105" s="79"/>
      <c r="U105" s="79"/>
      <c r="V105" s="80"/>
      <c r="X105" s="11" t="str">
        <f>X4</f>
        <v>FY2013</v>
      </c>
      <c r="Y105" s="11" t="str">
        <f>Y4</f>
        <v>FY2014</v>
      </c>
      <c r="Z105" s="11" t="s">
        <v>123</v>
      </c>
      <c r="AA105" s="11" t="str">
        <f>+AA4</f>
        <v>FY2016</v>
      </c>
      <c r="AB105" s="11" t="str">
        <f>+AB4</f>
        <v>2018/3</v>
      </c>
    </row>
    <row r="106" spans="1:28" ht="19.649999999999999" customHeight="1">
      <c r="A106" s="79"/>
      <c r="B106" s="79"/>
      <c r="C106" s="79"/>
      <c r="D106" s="12" t="s">
        <v>9</v>
      </c>
      <c r="E106" s="13" t="s">
        <v>10</v>
      </c>
      <c r="F106" s="13" t="s">
        <v>11</v>
      </c>
      <c r="G106" s="13" t="s">
        <v>12</v>
      </c>
      <c r="H106" s="12" t="s">
        <v>9</v>
      </c>
      <c r="I106" s="13" t="str">
        <f t="shared" ref="I106:L106" si="66">I5</f>
        <v>Q2</v>
      </c>
      <c r="J106" s="13" t="str">
        <f t="shared" si="66"/>
        <v>Q3</v>
      </c>
      <c r="K106" s="13" t="str">
        <f t="shared" si="66"/>
        <v>Q4</v>
      </c>
      <c r="L106" s="12" t="str">
        <f t="shared" si="66"/>
        <v>Q1 *1</v>
      </c>
      <c r="M106" s="13" t="str">
        <f>M5</f>
        <v>Q2</v>
      </c>
      <c r="N106" s="13" t="str">
        <f>N5</f>
        <v>Q3</v>
      </c>
      <c r="O106" s="13" t="s">
        <v>12</v>
      </c>
      <c r="P106" s="12" t="str">
        <f t="shared" ref="P106" si="67">P5</f>
        <v>Q1</v>
      </c>
      <c r="Q106" s="13" t="str">
        <f>Q5</f>
        <v>Q2</v>
      </c>
      <c r="R106" s="13" t="str">
        <f>R5</f>
        <v>Q3</v>
      </c>
      <c r="S106" s="14" t="s">
        <v>12</v>
      </c>
      <c r="T106" s="13" t="str">
        <f>T5</f>
        <v>Q2</v>
      </c>
      <c r="U106" s="13" t="str">
        <f>U5</f>
        <v>Q3</v>
      </c>
      <c r="V106" s="14" t="s">
        <v>12</v>
      </c>
      <c r="X106" s="15"/>
      <c r="Y106" s="15"/>
      <c r="Z106" s="15"/>
      <c r="AA106" s="15"/>
      <c r="AB106" s="15"/>
    </row>
    <row r="107" spans="1:28" ht="19.649999999999999" customHeight="1">
      <c r="A107" s="29" t="s">
        <v>128</v>
      </c>
      <c r="B107" s="29"/>
      <c r="C107" s="29"/>
      <c r="D107" s="104">
        <v>22959</v>
      </c>
      <c r="E107" s="105">
        <v>15257</v>
      </c>
      <c r="F107" s="105">
        <v>8974</v>
      </c>
      <c r="G107" s="105">
        <v>99704</v>
      </c>
      <c r="H107" s="104">
        <v>20194</v>
      </c>
      <c r="I107" s="105">
        <v>-1076</v>
      </c>
      <c r="J107" s="105">
        <v>16567</v>
      </c>
      <c r="K107" s="105">
        <v>66859</v>
      </c>
      <c r="L107" s="104">
        <v>395</v>
      </c>
      <c r="M107" s="105">
        <v>55211</v>
      </c>
      <c r="N107" s="105">
        <v>-22458</v>
      </c>
      <c r="O107" s="105">
        <v>66710</v>
      </c>
      <c r="P107" s="104">
        <v>27662</v>
      </c>
      <c r="Q107" s="105">
        <v>-344</v>
      </c>
      <c r="R107" s="105">
        <v>-3122</v>
      </c>
      <c r="S107" s="106">
        <v>64103</v>
      </c>
      <c r="T107" s="105"/>
      <c r="U107" s="105"/>
      <c r="V107" s="106"/>
      <c r="W107" s="27"/>
      <c r="X107" s="105">
        <v>146894</v>
      </c>
      <c r="Y107" s="105">
        <f>SUM(H107:K107)</f>
        <v>102544</v>
      </c>
      <c r="Z107" s="105">
        <v>99858</v>
      </c>
      <c r="AA107" s="105">
        <f>SUM(P107:S107)</f>
        <v>88299</v>
      </c>
      <c r="AB107" s="105">
        <f>SUM(T107:V107)</f>
        <v>0</v>
      </c>
    </row>
    <row r="108" spans="1:28" ht="19.649999999999999" customHeight="1">
      <c r="A108" s="29" t="s">
        <v>129</v>
      </c>
      <c r="B108" s="29"/>
      <c r="C108" s="29"/>
      <c r="D108" s="104">
        <v>-27411</v>
      </c>
      <c r="E108" s="105">
        <v>-21622</v>
      </c>
      <c r="F108" s="105">
        <v>-24909</v>
      </c>
      <c r="G108" s="105">
        <v>-48996</v>
      </c>
      <c r="H108" s="104">
        <v>-27342</v>
      </c>
      <c r="I108" s="105">
        <v>-35117</v>
      </c>
      <c r="J108" s="105">
        <v>-48151</v>
      </c>
      <c r="K108" s="105">
        <v>-32847</v>
      </c>
      <c r="L108" s="104">
        <v>-30565</v>
      </c>
      <c r="M108" s="105">
        <v>-15502</v>
      </c>
      <c r="N108" s="105">
        <v>-29314</v>
      </c>
      <c r="O108" s="105">
        <v>-28757</v>
      </c>
      <c r="P108" s="104">
        <v>-25946</v>
      </c>
      <c r="Q108" s="105">
        <v>-26891</v>
      </c>
      <c r="R108" s="105">
        <v>-10373</v>
      </c>
      <c r="S108" s="106">
        <v>-43505</v>
      </c>
      <c r="T108" s="105"/>
      <c r="U108" s="105"/>
      <c r="V108" s="106"/>
      <c r="W108" s="27"/>
      <c r="X108" s="105">
        <v>-122938</v>
      </c>
      <c r="Y108" s="105">
        <f>SUM(H108:K108)</f>
        <v>-143457</v>
      </c>
      <c r="Z108" s="105">
        <v>-104138</v>
      </c>
      <c r="AA108" s="105">
        <f>SUM(P108:S108)</f>
        <v>-106715</v>
      </c>
      <c r="AB108" s="105">
        <f>SUM(T108:V108)</f>
        <v>0</v>
      </c>
    </row>
    <row r="109" spans="1:28" ht="19.649999999999999" customHeight="1">
      <c r="A109" s="29" t="s">
        <v>130</v>
      </c>
      <c r="B109" s="29"/>
      <c r="C109" s="29"/>
      <c r="D109" s="104">
        <v>8600</v>
      </c>
      <c r="E109" s="105">
        <v>8162</v>
      </c>
      <c r="F109" s="105">
        <v>26840</v>
      </c>
      <c r="G109" s="105">
        <v>-52838</v>
      </c>
      <c r="H109" s="104">
        <v>-12731</v>
      </c>
      <c r="I109" s="105">
        <v>45816</v>
      </c>
      <c r="J109" s="105">
        <v>26436</v>
      </c>
      <c r="K109" s="105">
        <v>-29585</v>
      </c>
      <c r="L109" s="104">
        <v>39106</v>
      </c>
      <c r="M109" s="105">
        <v>-5676</v>
      </c>
      <c r="N109" s="105">
        <v>34925</v>
      </c>
      <c r="O109" s="105">
        <v>-25686</v>
      </c>
      <c r="P109" s="104">
        <v>28836</v>
      </c>
      <c r="Q109" s="105">
        <v>24680</v>
      </c>
      <c r="R109" s="105">
        <v>8005</v>
      </c>
      <c r="S109" s="106">
        <v>-81442</v>
      </c>
      <c r="T109" s="105"/>
      <c r="U109" s="105"/>
      <c r="V109" s="106"/>
      <c r="W109" s="27"/>
      <c r="X109" s="105">
        <v>-9236</v>
      </c>
      <c r="Y109" s="105">
        <f>SUM(H109:K109)</f>
        <v>29936</v>
      </c>
      <c r="Z109" s="105">
        <v>42669</v>
      </c>
      <c r="AA109" s="105">
        <f>SUM(P109:S109)</f>
        <v>-19921</v>
      </c>
      <c r="AB109" s="105">
        <f>SUM(T109:V109)</f>
        <v>0</v>
      </c>
    </row>
    <row r="110" spans="1:28" ht="19.649999999999999" customHeight="1" thickBot="1">
      <c r="A110" s="89" t="s">
        <v>88</v>
      </c>
      <c r="B110" s="89"/>
      <c r="C110" s="89"/>
      <c r="D110" s="90">
        <v>123550</v>
      </c>
      <c r="E110" s="91">
        <v>125258</v>
      </c>
      <c r="F110" s="91">
        <v>144126</v>
      </c>
      <c r="G110" s="91">
        <v>140047</v>
      </c>
      <c r="H110" s="90">
        <v>118595</v>
      </c>
      <c r="I110" s="91">
        <v>133590</v>
      </c>
      <c r="J110" s="91">
        <v>136529</v>
      </c>
      <c r="K110" s="91">
        <v>137722</v>
      </c>
      <c r="L110" s="90">
        <v>149727</v>
      </c>
      <c r="M110" s="91">
        <v>180196</v>
      </c>
      <c r="N110" s="91">
        <v>162672</v>
      </c>
      <c r="O110" s="91">
        <v>167547</v>
      </c>
      <c r="P110" s="90">
        <v>186957</v>
      </c>
      <c r="Q110" s="91">
        <v>184238</v>
      </c>
      <c r="R110" s="91">
        <v>193154</v>
      </c>
      <c r="S110" s="92">
        <v>126429</v>
      </c>
      <c r="T110" s="91"/>
      <c r="U110" s="91"/>
      <c r="V110" s="92"/>
      <c r="W110" s="27"/>
      <c r="X110" s="91">
        <v>532981</v>
      </c>
      <c r="Y110" s="91">
        <f>K110</f>
        <v>137722</v>
      </c>
      <c r="Z110" s="91">
        <v>167547</v>
      </c>
      <c r="AA110" s="91">
        <f>S110</f>
        <v>126429</v>
      </c>
      <c r="AB110" s="91">
        <f>V110</f>
        <v>0</v>
      </c>
    </row>
    <row r="111" spans="1:28" ht="18.75" customHeight="1" thickBot="1">
      <c r="A111" s="43" t="s">
        <v>18</v>
      </c>
      <c r="B111" s="43"/>
      <c r="C111" s="43"/>
      <c r="D111" s="45">
        <v>-4452</v>
      </c>
      <c r="E111" s="46">
        <v>-6365</v>
      </c>
      <c r="F111" s="46">
        <v>-15935</v>
      </c>
      <c r="G111" s="46">
        <v>50708</v>
      </c>
      <c r="H111" s="45">
        <v>-7148</v>
      </c>
      <c r="I111" s="46">
        <v>-36193</v>
      </c>
      <c r="J111" s="46">
        <v>-31584</v>
      </c>
      <c r="K111" s="46">
        <v>34012</v>
      </c>
      <c r="L111" s="45">
        <v>-30170</v>
      </c>
      <c r="M111" s="46">
        <f>M107+M108</f>
        <v>39709</v>
      </c>
      <c r="N111" s="46">
        <f>N107+N108</f>
        <v>-51772</v>
      </c>
      <c r="O111" s="46">
        <v>37953</v>
      </c>
      <c r="P111" s="45">
        <f t="shared" ref="P111" si="68">P107+P108</f>
        <v>1716</v>
      </c>
      <c r="Q111" s="46">
        <f>Q107+Q108</f>
        <v>-27235</v>
      </c>
      <c r="R111" s="46">
        <f t="shared" ref="R111:S111" si="69">R107+R108</f>
        <v>-13495</v>
      </c>
      <c r="S111" s="47">
        <f t="shared" si="69"/>
        <v>20598</v>
      </c>
      <c r="T111" s="46">
        <f>T107+T108</f>
        <v>0</v>
      </c>
      <c r="U111" s="46">
        <f t="shared" ref="U111:V111" si="70">U107+U108</f>
        <v>0</v>
      </c>
      <c r="V111" s="47">
        <f t="shared" si="70"/>
        <v>0</v>
      </c>
      <c r="W111" s="27"/>
      <c r="X111" s="46">
        <v>23956</v>
      </c>
      <c r="Y111" s="46">
        <f>SUM(Y107:Y108)</f>
        <v>-40913</v>
      </c>
      <c r="Z111" s="46">
        <v>-4280</v>
      </c>
      <c r="AA111" s="46">
        <f>SUM(AA107:AA108)</f>
        <v>-18416</v>
      </c>
      <c r="AB111" s="46">
        <f>SUM(AB107:AB108)</f>
        <v>0</v>
      </c>
    </row>
    <row r="115" spans="1:28">
      <c r="A115" s="1" t="s">
        <v>89</v>
      </c>
      <c r="B115" s="2"/>
      <c r="C115" s="2"/>
    </row>
    <row r="116" spans="1:28">
      <c r="A116" s="4"/>
    </row>
    <row r="117" spans="1:28">
      <c r="A117" s="5"/>
      <c r="B117" s="5"/>
      <c r="C117" s="5"/>
      <c r="D117" s="6"/>
      <c r="E117" s="5"/>
      <c r="F117" s="5"/>
      <c r="G117" s="5"/>
      <c r="H117" s="6"/>
      <c r="I117" s="5"/>
      <c r="J117" s="5"/>
      <c r="K117" s="5"/>
      <c r="L117" s="6"/>
      <c r="M117" s="5"/>
      <c r="N117" s="5"/>
      <c r="O117" s="5"/>
      <c r="P117" s="6"/>
      <c r="Q117" s="5"/>
      <c r="R117" s="5"/>
      <c r="S117" s="7"/>
      <c r="T117" s="5"/>
      <c r="U117" s="5"/>
      <c r="V117" s="7"/>
      <c r="X117" s="5"/>
      <c r="Y117" s="5"/>
      <c r="Z117" s="5"/>
      <c r="AA117" s="5"/>
      <c r="AB117" s="5"/>
    </row>
    <row r="118" spans="1:28">
      <c r="D118" s="8" t="str">
        <f>D4</f>
        <v>FY2013</v>
      </c>
      <c r="E118" s="79"/>
      <c r="F118" s="79"/>
      <c r="G118" s="79"/>
      <c r="H118" s="8" t="str">
        <f>H4</f>
        <v>FY2014</v>
      </c>
      <c r="I118" s="79"/>
      <c r="J118" s="79"/>
      <c r="K118" s="79"/>
      <c r="L118" s="8" t="str">
        <f>L4</f>
        <v>FY2015</v>
      </c>
      <c r="M118" s="79"/>
      <c r="N118" s="79"/>
      <c r="O118" s="79"/>
      <c r="P118" s="8" t="str">
        <f>P4</f>
        <v>FY2016</v>
      </c>
      <c r="Q118" s="79"/>
      <c r="R118" s="79"/>
      <c r="S118" s="80"/>
      <c r="T118" s="79"/>
      <c r="U118" s="79"/>
      <c r="V118" s="80"/>
      <c r="X118" s="11" t="str">
        <f>X4</f>
        <v>FY2013</v>
      </c>
      <c r="Y118" s="11" t="str">
        <f>Y4</f>
        <v>FY2014</v>
      </c>
      <c r="Z118" s="11" t="s">
        <v>123</v>
      </c>
      <c r="AA118" s="11" t="str">
        <f>+AA4</f>
        <v>FY2016</v>
      </c>
      <c r="AB118" s="11" t="str">
        <f>+AB4</f>
        <v>2018/3</v>
      </c>
    </row>
    <row r="119" spans="1:28" ht="19.649999999999999" customHeight="1">
      <c r="A119" s="79"/>
      <c r="B119" s="79"/>
      <c r="C119" s="79"/>
      <c r="D119" s="12" t="s">
        <v>9</v>
      </c>
      <c r="E119" s="13" t="s">
        <v>10</v>
      </c>
      <c r="F119" s="13" t="s">
        <v>11</v>
      </c>
      <c r="G119" s="13" t="s">
        <v>12</v>
      </c>
      <c r="H119" s="12" t="s">
        <v>9</v>
      </c>
      <c r="I119" s="13" t="s">
        <v>10</v>
      </c>
      <c r="J119" s="13" t="s">
        <v>11</v>
      </c>
      <c r="K119" s="13" t="s">
        <v>12</v>
      </c>
      <c r="L119" s="12" t="str">
        <f>L5</f>
        <v>Q1 *1</v>
      </c>
      <c r="M119" s="13" t="s">
        <v>10</v>
      </c>
      <c r="N119" s="13" t="str">
        <f>N5</f>
        <v>Q3</v>
      </c>
      <c r="O119" s="13" t="s">
        <v>12</v>
      </c>
      <c r="P119" s="12" t="str">
        <f>P5</f>
        <v>Q1</v>
      </c>
      <c r="Q119" s="13" t="s">
        <v>10</v>
      </c>
      <c r="R119" s="13" t="str">
        <f>R5</f>
        <v>Q3</v>
      </c>
      <c r="S119" s="14" t="s">
        <v>12</v>
      </c>
      <c r="T119" s="13" t="s">
        <v>10</v>
      </c>
      <c r="U119" s="13" t="str">
        <f>U5</f>
        <v>Q3</v>
      </c>
      <c r="V119" s="14" t="s">
        <v>12</v>
      </c>
      <c r="X119" s="15"/>
      <c r="Y119" s="15"/>
      <c r="Z119" s="15"/>
      <c r="AA119" s="15"/>
      <c r="AB119" s="15"/>
    </row>
    <row r="120" spans="1:28" s="19" customFormat="1" ht="21.9" customHeight="1">
      <c r="A120" s="63" t="s">
        <v>90</v>
      </c>
      <c r="B120" s="63"/>
      <c r="C120" s="63"/>
      <c r="D120" s="107"/>
      <c r="E120" s="108"/>
      <c r="F120" s="108"/>
      <c r="G120" s="108"/>
      <c r="H120" s="107"/>
      <c r="I120" s="108"/>
      <c r="J120" s="108"/>
      <c r="K120" s="108"/>
      <c r="L120" s="107"/>
      <c r="M120" s="108"/>
      <c r="N120" s="108"/>
      <c r="O120" s="108"/>
      <c r="P120" s="107"/>
      <c r="Q120" s="108"/>
      <c r="R120" s="108"/>
      <c r="S120" s="109"/>
      <c r="T120" s="108"/>
      <c r="U120" s="108"/>
      <c r="V120" s="109"/>
      <c r="X120" s="108"/>
      <c r="Y120" s="108"/>
      <c r="Z120" s="108"/>
      <c r="AA120" s="108"/>
      <c r="AB120" s="108"/>
    </row>
    <row r="121" spans="1:28" s="19" customFormat="1" ht="16.5" customHeight="1">
      <c r="A121" s="5" t="s">
        <v>131</v>
      </c>
      <c r="B121" s="5"/>
      <c r="C121" s="5"/>
      <c r="D121" s="36">
        <v>438786</v>
      </c>
      <c r="E121" s="37">
        <v>444602</v>
      </c>
      <c r="F121" s="37">
        <v>463876</v>
      </c>
      <c r="G121" s="37">
        <v>530404</v>
      </c>
      <c r="H121" s="36">
        <v>450596</v>
      </c>
      <c r="I121" s="37">
        <v>464327</v>
      </c>
      <c r="J121" s="37">
        <v>479179</v>
      </c>
      <c r="K121" s="37">
        <v>522574</v>
      </c>
      <c r="L121" s="36">
        <v>481473</v>
      </c>
      <c r="M121" s="37">
        <v>496581</v>
      </c>
      <c r="N121" s="37">
        <v>490021</v>
      </c>
      <c r="O121" s="37">
        <v>506435</v>
      </c>
      <c r="P121" s="36">
        <v>430469</v>
      </c>
      <c r="Q121" s="37">
        <v>424880</v>
      </c>
      <c r="R121" s="37">
        <v>439129</v>
      </c>
      <c r="S121" s="38">
        <v>497586</v>
      </c>
      <c r="T121" s="37"/>
      <c r="U121" s="37"/>
      <c r="V121" s="38"/>
      <c r="W121" s="56"/>
      <c r="X121" s="37">
        <v>1877668</v>
      </c>
      <c r="Y121" s="37">
        <f t="shared" ref="Y121:Y126" si="71">SUM(H121:K121)</f>
        <v>1916676</v>
      </c>
      <c r="Z121" s="37">
        <v>1974510</v>
      </c>
      <c r="AA121" s="37">
        <f t="shared" ref="AA121:AA126" si="72">SUM(P121:S121)</f>
        <v>1792064</v>
      </c>
      <c r="AB121" s="37">
        <f t="shared" ref="AB121:AB126" si="73">SUM(T121:V121)</f>
        <v>0</v>
      </c>
    </row>
    <row r="122" spans="1:28" s="57" customFormat="1" ht="16.5" customHeight="1">
      <c r="B122" s="110" t="s">
        <v>132</v>
      </c>
      <c r="C122" s="111"/>
      <c r="D122" s="24">
        <v>344491</v>
      </c>
      <c r="E122" s="25">
        <v>329226</v>
      </c>
      <c r="F122" s="25">
        <v>350887</v>
      </c>
      <c r="G122" s="25">
        <v>382132</v>
      </c>
      <c r="H122" s="24">
        <v>343082</v>
      </c>
      <c r="I122" s="25">
        <v>344552</v>
      </c>
      <c r="J122" s="25">
        <v>367499</v>
      </c>
      <c r="K122" s="25">
        <v>384590</v>
      </c>
      <c r="L122" s="24">
        <v>361326</v>
      </c>
      <c r="M122" s="25">
        <v>350004</v>
      </c>
      <c r="N122" s="25">
        <v>357012</v>
      </c>
      <c r="O122" s="25">
        <v>363723</v>
      </c>
      <c r="P122" s="24">
        <v>316576</v>
      </c>
      <c r="Q122" s="25">
        <v>298535</v>
      </c>
      <c r="R122" s="25">
        <v>313943</v>
      </c>
      <c r="S122" s="26">
        <v>345834.20000000007</v>
      </c>
      <c r="T122" s="25"/>
      <c r="U122" s="25"/>
      <c r="V122" s="26"/>
      <c r="W122" s="25"/>
      <c r="X122" s="25">
        <v>1406736</v>
      </c>
      <c r="Y122" s="25">
        <f t="shared" si="71"/>
        <v>1439723</v>
      </c>
      <c r="Z122" s="25">
        <v>1432065</v>
      </c>
      <c r="AA122" s="25">
        <f t="shared" si="72"/>
        <v>1274888.2000000002</v>
      </c>
      <c r="AB122" s="25">
        <f t="shared" si="73"/>
        <v>0</v>
      </c>
    </row>
    <row r="123" spans="1:28" s="57" customFormat="1" ht="16.5" customHeight="1">
      <c r="B123" s="110" t="s">
        <v>133</v>
      </c>
      <c r="C123" s="111"/>
      <c r="D123" s="24">
        <v>39326</v>
      </c>
      <c r="E123" s="25">
        <v>43617</v>
      </c>
      <c r="F123" s="25">
        <v>46402</v>
      </c>
      <c r="G123" s="25">
        <v>50747</v>
      </c>
      <c r="H123" s="24">
        <v>41990</v>
      </c>
      <c r="I123" s="25">
        <v>46924</v>
      </c>
      <c r="J123" s="25">
        <v>48995</v>
      </c>
      <c r="K123" s="25">
        <v>54082</v>
      </c>
      <c r="L123" s="24">
        <v>50717</v>
      </c>
      <c r="M123" s="25">
        <v>57240</v>
      </c>
      <c r="N123" s="25">
        <v>57338</v>
      </c>
      <c r="O123" s="25">
        <v>58340</v>
      </c>
      <c r="P123" s="24">
        <v>47554</v>
      </c>
      <c r="Q123" s="25">
        <v>47760</v>
      </c>
      <c r="R123" s="25">
        <v>52597</v>
      </c>
      <c r="S123" s="26">
        <v>58291</v>
      </c>
      <c r="T123" s="25"/>
      <c r="U123" s="25"/>
      <c r="V123" s="26"/>
      <c r="W123" s="25"/>
      <c r="X123" s="25">
        <v>180092</v>
      </c>
      <c r="Y123" s="25">
        <f t="shared" si="71"/>
        <v>191991</v>
      </c>
      <c r="Z123" s="25">
        <v>223815</v>
      </c>
      <c r="AA123" s="25">
        <f t="shared" si="72"/>
        <v>206202</v>
      </c>
      <c r="AB123" s="25">
        <f t="shared" si="73"/>
        <v>0</v>
      </c>
    </row>
    <row r="124" spans="1:28" s="57" customFormat="1" ht="16.5" customHeight="1">
      <c r="B124" s="110" t="s">
        <v>134</v>
      </c>
      <c r="C124" s="111"/>
      <c r="D124" s="24">
        <v>54969</v>
      </c>
      <c r="E124" s="25">
        <v>71759</v>
      </c>
      <c r="F124" s="25">
        <v>66587</v>
      </c>
      <c r="G124" s="25">
        <v>97525</v>
      </c>
      <c r="H124" s="24">
        <v>65524</v>
      </c>
      <c r="I124" s="25">
        <v>72851</v>
      </c>
      <c r="J124" s="25">
        <v>62685</v>
      </c>
      <c r="K124" s="25">
        <v>83902</v>
      </c>
      <c r="L124" s="24">
        <v>69430</v>
      </c>
      <c r="M124" s="25">
        <v>89157</v>
      </c>
      <c r="N124" s="25">
        <v>75671</v>
      </c>
      <c r="O124" s="25">
        <v>84372</v>
      </c>
      <c r="P124" s="24">
        <v>66339</v>
      </c>
      <c r="Q124" s="25">
        <v>78585</v>
      </c>
      <c r="R124" s="25">
        <v>72589</v>
      </c>
      <c r="S124" s="26">
        <v>93461</v>
      </c>
      <c r="T124" s="25"/>
      <c r="U124" s="25"/>
      <c r="V124" s="26"/>
      <c r="W124" s="25"/>
      <c r="X124" s="25">
        <v>290840</v>
      </c>
      <c r="Y124" s="25">
        <f t="shared" si="71"/>
        <v>284962</v>
      </c>
      <c r="Z124" s="25">
        <v>318630</v>
      </c>
      <c r="AA124" s="25">
        <f t="shared" si="72"/>
        <v>310974</v>
      </c>
      <c r="AB124" s="25">
        <f t="shared" si="73"/>
        <v>0</v>
      </c>
    </row>
    <row r="125" spans="1:28" s="57" customFormat="1" ht="16.5" customHeight="1">
      <c r="A125" s="110" t="s">
        <v>135</v>
      </c>
      <c r="C125" s="111"/>
      <c r="D125" s="24">
        <v>25520</v>
      </c>
      <c r="E125" s="25">
        <v>28406</v>
      </c>
      <c r="F125" s="25">
        <v>28443</v>
      </c>
      <c r="G125" s="25">
        <v>27638</v>
      </c>
      <c r="H125" s="24">
        <v>27397</v>
      </c>
      <c r="I125" s="25">
        <v>29677</v>
      </c>
      <c r="J125" s="25">
        <v>30884</v>
      </c>
      <c r="K125" s="25">
        <v>29814</v>
      </c>
      <c r="L125" s="24">
        <v>31089</v>
      </c>
      <c r="M125" s="25">
        <v>32311</v>
      </c>
      <c r="N125" s="25">
        <v>31254</v>
      </c>
      <c r="O125" s="25">
        <v>30791</v>
      </c>
      <c r="P125" s="24">
        <v>28831</v>
      </c>
      <c r="Q125" s="25">
        <v>30351</v>
      </c>
      <c r="R125" s="25">
        <v>32150</v>
      </c>
      <c r="S125" s="26">
        <v>33554</v>
      </c>
      <c r="T125" s="25"/>
      <c r="U125" s="25"/>
      <c r="V125" s="26"/>
      <c r="W125" s="25"/>
      <c r="X125" s="25">
        <v>110007</v>
      </c>
      <c r="Y125" s="25">
        <f t="shared" si="71"/>
        <v>117772</v>
      </c>
      <c r="Z125" s="25">
        <v>125465</v>
      </c>
      <c r="AA125" s="25">
        <f t="shared" si="72"/>
        <v>124886</v>
      </c>
      <c r="AB125" s="25">
        <f t="shared" si="73"/>
        <v>0</v>
      </c>
    </row>
    <row r="126" spans="1:28" s="57" customFormat="1" ht="16.5" customHeight="1">
      <c r="A126" s="57" t="s">
        <v>95</v>
      </c>
      <c r="D126" s="24">
        <v>28589</v>
      </c>
      <c r="E126" s="25">
        <v>32698</v>
      </c>
      <c r="F126" s="25">
        <v>28819</v>
      </c>
      <c r="G126" s="25">
        <v>30694</v>
      </c>
      <c r="H126" s="24">
        <v>28573</v>
      </c>
      <c r="I126" s="25">
        <v>32043</v>
      </c>
      <c r="J126" s="25">
        <v>28824</v>
      </c>
      <c r="K126" s="25">
        <v>27516</v>
      </c>
      <c r="L126" s="24">
        <v>26613</v>
      </c>
      <c r="M126" s="25">
        <v>27091</v>
      </c>
      <c r="N126" s="25">
        <v>27403</v>
      </c>
      <c r="O126" s="25">
        <v>27946</v>
      </c>
      <c r="P126" s="24">
        <v>28406</v>
      </c>
      <c r="Q126" s="25">
        <v>28506</v>
      </c>
      <c r="R126" s="25">
        <v>26704</v>
      </c>
      <c r="S126" s="26">
        <v>28333</v>
      </c>
      <c r="T126" s="25"/>
      <c r="U126" s="25"/>
      <c r="V126" s="26"/>
      <c r="W126" s="25"/>
      <c r="X126" s="25">
        <v>120800</v>
      </c>
      <c r="Y126" s="25">
        <f t="shared" si="71"/>
        <v>116956</v>
      </c>
      <c r="Z126" s="25">
        <v>109053</v>
      </c>
      <c r="AA126" s="25">
        <f t="shared" si="72"/>
        <v>111949</v>
      </c>
      <c r="AB126" s="25">
        <f t="shared" si="73"/>
        <v>0</v>
      </c>
    </row>
    <row r="127" spans="1:28" s="19" customFormat="1" ht="16.5" customHeight="1">
      <c r="A127" s="112"/>
      <c r="B127" s="3"/>
      <c r="C127" s="3"/>
      <c r="D127" s="18"/>
      <c r="H127" s="18"/>
      <c r="L127" s="18"/>
      <c r="P127" s="18"/>
      <c r="S127" s="20"/>
      <c r="V127" s="20"/>
    </row>
    <row r="128" spans="1:28">
      <c r="A128" s="4"/>
    </row>
    <row r="129" spans="1:28">
      <c r="A129" s="5"/>
      <c r="B129" s="5"/>
      <c r="C129" s="5"/>
      <c r="D129" s="6"/>
      <c r="E129" s="5"/>
      <c r="F129" s="5"/>
      <c r="G129" s="5"/>
      <c r="H129" s="6"/>
      <c r="I129" s="5"/>
      <c r="J129" s="5"/>
      <c r="K129" s="5"/>
      <c r="L129" s="6"/>
      <c r="M129" s="5"/>
      <c r="N129" s="5"/>
      <c r="O129" s="5"/>
      <c r="P129" s="6"/>
      <c r="Q129" s="5"/>
      <c r="R129" s="5"/>
      <c r="S129" s="7"/>
      <c r="T129" s="5"/>
      <c r="U129" s="5"/>
      <c r="V129" s="7"/>
      <c r="X129" s="5"/>
      <c r="Y129" s="5"/>
      <c r="Z129" s="5"/>
      <c r="AA129" s="5"/>
      <c r="AB129" s="5"/>
    </row>
    <row r="130" spans="1:28">
      <c r="D130" s="8" t="str">
        <f>D4</f>
        <v>FY2013</v>
      </c>
      <c r="E130" s="79"/>
      <c r="F130" s="79"/>
      <c r="G130" s="79"/>
      <c r="H130" s="8" t="str">
        <f>H4</f>
        <v>FY2014</v>
      </c>
      <c r="I130" s="79"/>
      <c r="J130" s="79"/>
      <c r="K130" s="79"/>
      <c r="L130" s="8" t="str">
        <f>L4</f>
        <v>FY2015</v>
      </c>
      <c r="M130" s="79"/>
      <c r="N130" s="79"/>
      <c r="O130" s="79"/>
      <c r="P130" s="8" t="str">
        <f>P4</f>
        <v>FY2016</v>
      </c>
      <c r="Q130" s="79"/>
      <c r="R130" s="79"/>
      <c r="S130" s="80"/>
      <c r="T130" s="79"/>
      <c r="U130" s="79"/>
      <c r="V130" s="80"/>
      <c r="X130" s="11" t="str">
        <f>X4</f>
        <v>FY2013</v>
      </c>
      <c r="Y130" s="11" t="str">
        <f>Y4</f>
        <v>FY2014</v>
      </c>
      <c r="Z130" s="11" t="s">
        <v>123</v>
      </c>
      <c r="AA130" s="11" t="str">
        <f>+AA4</f>
        <v>FY2016</v>
      </c>
      <c r="AB130" s="11" t="str">
        <f>+AB4</f>
        <v>2018/3</v>
      </c>
    </row>
    <row r="131" spans="1:28" ht="19.649999999999999" customHeight="1">
      <c r="D131" s="12" t="s">
        <v>9</v>
      </c>
      <c r="E131" s="13" t="s">
        <v>10</v>
      </c>
      <c r="F131" s="13" t="s">
        <v>11</v>
      </c>
      <c r="G131" s="13" t="s">
        <v>12</v>
      </c>
      <c r="H131" s="12" t="s">
        <v>9</v>
      </c>
      <c r="I131" s="13" t="s">
        <v>10</v>
      </c>
      <c r="J131" s="13" t="s">
        <v>11</v>
      </c>
      <c r="K131" s="13" t="s">
        <v>12</v>
      </c>
      <c r="L131" s="12" t="str">
        <f>L5</f>
        <v>Q1 *1</v>
      </c>
      <c r="M131" s="13" t="s">
        <v>10</v>
      </c>
      <c r="N131" s="13" t="str">
        <f>N5</f>
        <v>Q3</v>
      </c>
      <c r="O131" s="13" t="s">
        <v>12</v>
      </c>
      <c r="P131" s="12" t="str">
        <f>P5</f>
        <v>Q1</v>
      </c>
      <c r="Q131" s="13" t="s">
        <v>10</v>
      </c>
      <c r="R131" s="13" t="str">
        <f>R5</f>
        <v>Q3</v>
      </c>
      <c r="S131" s="14" t="s">
        <v>12</v>
      </c>
      <c r="T131" s="13" t="s">
        <v>10</v>
      </c>
      <c r="U131" s="13" t="str">
        <f>U5</f>
        <v>Q3</v>
      </c>
      <c r="V131" s="14" t="s">
        <v>12</v>
      </c>
      <c r="X131" s="15"/>
      <c r="Y131" s="15"/>
      <c r="Z131" s="15"/>
      <c r="AA131" s="15"/>
      <c r="AB131" s="15"/>
    </row>
    <row r="132" spans="1:28" s="19" customFormat="1" ht="21.9" customHeight="1">
      <c r="A132" s="113" t="s">
        <v>103</v>
      </c>
      <c r="B132" s="113"/>
      <c r="C132" s="113"/>
      <c r="D132" s="18"/>
      <c r="H132" s="18"/>
      <c r="L132" s="18"/>
      <c r="P132" s="18"/>
      <c r="S132" s="20"/>
      <c r="V132" s="20"/>
    </row>
    <row r="133" spans="1:28" s="57" customFormat="1" ht="16.5" customHeight="1">
      <c r="A133" s="110" t="s">
        <v>104</v>
      </c>
      <c r="B133" s="110"/>
      <c r="D133" s="36">
        <v>184378</v>
      </c>
      <c r="E133" s="37">
        <v>195983</v>
      </c>
      <c r="F133" s="37">
        <v>194047</v>
      </c>
      <c r="G133" s="37">
        <v>243556</v>
      </c>
      <c r="H133" s="36">
        <v>185555</v>
      </c>
      <c r="I133" s="37">
        <v>189173</v>
      </c>
      <c r="J133" s="37">
        <v>177867</v>
      </c>
      <c r="K133" s="37">
        <v>206985</v>
      </c>
      <c r="L133" s="36">
        <v>179877</v>
      </c>
      <c r="M133" s="37">
        <v>187144</v>
      </c>
      <c r="N133" s="37">
        <v>182125</v>
      </c>
      <c r="O133" s="37">
        <v>212444</v>
      </c>
      <c r="P133" s="36">
        <v>179101</v>
      </c>
      <c r="Q133" s="37">
        <v>185690</v>
      </c>
      <c r="R133" s="37">
        <v>182205</v>
      </c>
      <c r="S133" s="38">
        <v>220526</v>
      </c>
      <c r="T133" s="37"/>
      <c r="U133" s="37"/>
      <c r="V133" s="38"/>
      <c r="W133" s="25"/>
      <c r="X133" s="37">
        <v>817964</v>
      </c>
      <c r="Y133" s="37">
        <f>SUM(H133:K133)</f>
        <v>759580</v>
      </c>
      <c r="Z133" s="37">
        <v>761590</v>
      </c>
      <c r="AA133" s="37">
        <f>SUM(P133:S133)</f>
        <v>767522</v>
      </c>
      <c r="AB133" s="37">
        <f>SUM(T133:V133)</f>
        <v>0</v>
      </c>
    </row>
    <row r="134" spans="1:28" s="57" customFormat="1" ht="16.5" customHeight="1">
      <c r="A134" s="110" t="s">
        <v>105</v>
      </c>
      <c r="B134" s="110"/>
      <c r="D134" s="24">
        <v>308517</v>
      </c>
      <c r="E134" s="25">
        <v>309723</v>
      </c>
      <c r="F134" s="25">
        <v>327091</v>
      </c>
      <c r="G134" s="25">
        <v>345180</v>
      </c>
      <c r="H134" s="24">
        <v>321011</v>
      </c>
      <c r="I134" s="25">
        <v>336874</v>
      </c>
      <c r="J134" s="25">
        <v>361020</v>
      </c>
      <c r="K134" s="25">
        <v>372919</v>
      </c>
      <c r="L134" s="24">
        <v>359298</v>
      </c>
      <c r="M134" s="25">
        <v>368859</v>
      </c>
      <c r="N134" s="25">
        <v>366553</v>
      </c>
      <c r="O134" s="25">
        <v>352728</v>
      </c>
      <c r="P134" s="24">
        <f>SUM(P135:P137)</f>
        <v>308605</v>
      </c>
      <c r="Q134" s="25">
        <f t="shared" ref="Q134:S134" si="74">SUM(Q135:Q137)</f>
        <v>298047</v>
      </c>
      <c r="R134" s="25">
        <f t="shared" si="74"/>
        <v>315778</v>
      </c>
      <c r="S134" s="26">
        <f t="shared" si="74"/>
        <v>338947</v>
      </c>
      <c r="T134" s="25">
        <f t="shared" ref="T134:V134" si="75">SUM(T135:T137)</f>
        <v>0</v>
      </c>
      <c r="U134" s="25">
        <f t="shared" si="75"/>
        <v>0</v>
      </c>
      <c r="V134" s="26">
        <f t="shared" si="75"/>
        <v>0</v>
      </c>
      <c r="W134" s="25"/>
      <c r="X134" s="25">
        <v>1290511</v>
      </c>
      <c r="Y134" s="25">
        <f>SUM(H134:K134)</f>
        <v>1391824</v>
      </c>
      <c r="Z134" s="25">
        <v>1447438</v>
      </c>
      <c r="AA134" s="25">
        <f>SUM(P134:S134)</f>
        <v>1261377</v>
      </c>
      <c r="AB134" s="25">
        <f>SUM(T134:V134)</f>
        <v>0</v>
      </c>
    </row>
    <row r="135" spans="1:28" s="57" customFormat="1" ht="16.5" customHeight="1">
      <c r="B135" s="110" t="s">
        <v>106</v>
      </c>
      <c r="D135" s="24">
        <v>143133</v>
      </c>
      <c r="E135" s="25">
        <v>142436</v>
      </c>
      <c r="F135" s="25">
        <v>146588</v>
      </c>
      <c r="G135" s="25">
        <v>157003</v>
      </c>
      <c r="H135" s="24">
        <v>147324</v>
      </c>
      <c r="I135" s="25">
        <v>156909</v>
      </c>
      <c r="J135" s="25">
        <v>169073</v>
      </c>
      <c r="K135" s="25">
        <v>175239</v>
      </c>
      <c r="L135" s="24">
        <v>174239</v>
      </c>
      <c r="M135" s="25">
        <v>178631</v>
      </c>
      <c r="N135" s="25">
        <v>171888</v>
      </c>
      <c r="O135" s="25">
        <v>169028</v>
      </c>
      <c r="P135" s="24">
        <v>145609</v>
      </c>
      <c r="Q135" s="25">
        <v>147236</v>
      </c>
      <c r="R135" s="25">
        <v>150859</v>
      </c>
      <c r="S135" s="26">
        <v>165394</v>
      </c>
      <c r="T135" s="25"/>
      <c r="U135" s="25"/>
      <c r="V135" s="26"/>
      <c r="W135" s="25"/>
      <c r="X135" s="25">
        <v>589160</v>
      </c>
      <c r="Y135" s="25">
        <f>SUM(H135:K135)</f>
        <v>648545</v>
      </c>
      <c r="Z135" s="25">
        <v>693786</v>
      </c>
      <c r="AA135" s="25">
        <f>SUM(P135:S135)</f>
        <v>609098</v>
      </c>
      <c r="AB135" s="25">
        <f>SUM(T135:V135)</f>
        <v>0</v>
      </c>
    </row>
    <row r="136" spans="1:28" s="57" customFormat="1" ht="16.5" customHeight="1">
      <c r="B136" s="110" t="s">
        <v>107</v>
      </c>
      <c r="D136" s="24">
        <v>122168</v>
      </c>
      <c r="E136" s="25">
        <v>119533</v>
      </c>
      <c r="F136" s="25">
        <v>134988</v>
      </c>
      <c r="G136" s="25">
        <v>142414</v>
      </c>
      <c r="H136" s="24">
        <v>128095</v>
      </c>
      <c r="I136" s="25">
        <v>126352</v>
      </c>
      <c r="J136" s="25">
        <v>136981</v>
      </c>
      <c r="K136" s="25">
        <v>140947</v>
      </c>
      <c r="L136" s="24">
        <v>129812</v>
      </c>
      <c r="M136" s="25">
        <v>130172</v>
      </c>
      <c r="N136" s="25">
        <v>137346</v>
      </c>
      <c r="O136" s="25">
        <v>133672</v>
      </c>
      <c r="P136" s="24">
        <v>116538</v>
      </c>
      <c r="Q136" s="25">
        <v>104390</v>
      </c>
      <c r="R136" s="25">
        <v>113726</v>
      </c>
      <c r="S136" s="26">
        <v>121817</v>
      </c>
      <c r="T136" s="25"/>
      <c r="U136" s="25"/>
      <c r="V136" s="26"/>
      <c r="W136" s="25"/>
      <c r="X136" s="25">
        <v>519103</v>
      </c>
      <c r="Y136" s="25">
        <f>SUM(H136:K136)</f>
        <v>532375</v>
      </c>
      <c r="Z136" s="25">
        <v>531002</v>
      </c>
      <c r="AA136" s="25">
        <f>SUM(P136:S136)</f>
        <v>456471</v>
      </c>
      <c r="AB136" s="25">
        <f>SUM(T136:V136)</f>
        <v>0</v>
      </c>
    </row>
    <row r="137" spans="1:28" s="57" customFormat="1" ht="16.5" customHeight="1">
      <c r="B137" s="57" t="s">
        <v>95</v>
      </c>
      <c r="D137" s="24">
        <v>43216</v>
      </c>
      <c r="E137" s="25">
        <v>47754</v>
      </c>
      <c r="F137" s="25">
        <v>45515</v>
      </c>
      <c r="G137" s="25">
        <v>45763</v>
      </c>
      <c r="H137" s="24">
        <v>45592</v>
      </c>
      <c r="I137" s="25">
        <v>53613</v>
      </c>
      <c r="J137" s="25">
        <v>54966</v>
      </c>
      <c r="K137" s="25">
        <v>56733</v>
      </c>
      <c r="L137" s="24">
        <v>55247</v>
      </c>
      <c r="M137" s="25">
        <v>60056</v>
      </c>
      <c r="N137" s="25">
        <v>57319</v>
      </c>
      <c r="O137" s="25">
        <v>50028</v>
      </c>
      <c r="P137" s="24">
        <v>46458</v>
      </c>
      <c r="Q137" s="25">
        <v>46421</v>
      </c>
      <c r="R137" s="25">
        <v>51193</v>
      </c>
      <c r="S137" s="26">
        <v>51736</v>
      </c>
      <c r="T137" s="25"/>
      <c r="U137" s="25"/>
      <c r="V137" s="26"/>
      <c r="W137" s="25"/>
      <c r="X137" s="25">
        <v>182248</v>
      </c>
      <c r="Y137" s="25">
        <f>SUM(H137:K137)</f>
        <v>210904</v>
      </c>
      <c r="Z137" s="25">
        <v>222650</v>
      </c>
      <c r="AA137" s="25">
        <f>SUM(P137:S137)</f>
        <v>195808</v>
      </c>
      <c r="AB137" s="25">
        <f>SUM(T137:V137)</f>
        <v>0</v>
      </c>
    </row>
    <row r="139" spans="1:28">
      <c r="A139" s="3" t="s">
        <v>112</v>
      </c>
    </row>
    <row r="140" spans="1:28">
      <c r="A140" s="3" t="s">
        <v>113</v>
      </c>
    </row>
  </sheetData>
  <sheetProtection password="E59C" sheet="1" formatCells="0" formatColumns="0" formatRows="0" insertColumns="0" insertRows="0" insertHyperlinks="0" deleteColumns="0" deleteRows="0" selectLockedCells="1" sort="0" autoFilter="0" pivotTables="0"/>
  <dataConsolidate/>
  <phoneticPr fontId="2"/>
  <pageMargins left="0.74803149606299213" right="0.74803149606299213" top="0.70866141732283472" bottom="0.31496062992125984" header="0.51181102362204722" footer="0.51181102362204722"/>
  <pageSetup paperSize="8" scale="40" orientation="portrait" r:id="rId1"/>
  <headerFooter alignWithMargins="0"/>
  <rowBreaks count="1" manualBreakCount="1">
    <brk id="100" max="16383" man="1"/>
  </rowBreaks>
  <ignoredErrors>
    <ignoredError sqref="P10:S10 AA38 P12:S15" evalError="1"/>
    <ignoredError sqref="AA8:AA9 AA16 X19:AA21 Y48:AA56 Y58:AA59 Y57:Z57 Y107:AA109 Y121:AA126 Y133:AA137" formulaRange="1"/>
    <ignoredError sqref="AA10:AA15" evalError="1" formulaRange="1"/>
    <ignoredError sqref="AA57" formula="1" formulaRange="1"/>
    <ignoredError sqref="Y7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37"/>
  <sheetViews>
    <sheetView showGridLines="0" view="pageBreakPreview" zoomScale="85" zoomScaleNormal="100" zoomScaleSheetLayoutView="85" workbookViewId="0">
      <pane xSplit="3" ySplit="6" topLeftCell="E8" activePane="bottomRight" state="frozen"/>
      <selection pane="topRight" activeCell="C20" sqref="C20"/>
      <selection pane="bottomLeft" activeCell="C20" sqref="C20"/>
      <selection pane="bottomRight" activeCell="E8" sqref="E8"/>
    </sheetView>
  </sheetViews>
  <sheetFormatPr defaultColWidth="8.88671875" defaultRowHeight="15" outlineLevelCol="1"/>
  <cols>
    <col min="1" max="2" width="3.6640625" style="141" customWidth="1"/>
    <col min="3" max="3" width="45.44140625" style="141" customWidth="1"/>
    <col min="4" max="19" width="9.88671875" style="141" customWidth="1" outlineLevel="1"/>
    <col min="20" max="31" width="9.88671875" style="141" customWidth="1"/>
    <col min="32" max="32" width="8.88671875" style="141"/>
    <col min="33" max="36" width="9.88671875" style="141" customWidth="1" outlineLevel="1"/>
    <col min="37" max="39" width="9.88671875" style="141" customWidth="1"/>
    <col min="40" max="16384" width="8.88671875" style="141"/>
  </cols>
  <sheetData>
    <row r="1" spans="1:19">
      <c r="A1" s="139" t="s">
        <v>0</v>
      </c>
      <c r="B1" s="140"/>
      <c r="C1" s="140"/>
    </row>
    <row r="2" spans="1:19">
      <c r="A2" s="142"/>
    </row>
    <row r="3" spans="1:19">
      <c r="A3" s="143"/>
      <c r="B3" s="143"/>
      <c r="C3" s="143"/>
      <c r="D3" s="143"/>
      <c r="E3" s="143"/>
      <c r="F3" s="143"/>
      <c r="G3" s="143"/>
      <c r="H3" s="144"/>
      <c r="I3" s="143"/>
      <c r="J3" s="143"/>
      <c r="K3" s="143"/>
      <c r="L3" s="144"/>
      <c r="M3" s="143"/>
      <c r="N3" s="143"/>
      <c r="O3" s="143"/>
      <c r="Q3" s="143"/>
      <c r="R3" s="143"/>
      <c r="S3" s="143"/>
    </row>
    <row r="4" spans="1:19">
      <c r="D4" s="145" t="s">
        <v>136</v>
      </c>
      <c r="E4" s="146"/>
      <c r="F4" s="146"/>
      <c r="G4" s="146"/>
      <c r="H4" s="147" t="s">
        <v>137</v>
      </c>
      <c r="I4" s="146"/>
      <c r="J4" s="146"/>
      <c r="K4" s="146"/>
      <c r="L4" s="147" t="s">
        <v>114</v>
      </c>
      <c r="M4" s="145"/>
      <c r="N4" s="145"/>
      <c r="O4" s="145"/>
      <c r="Q4" s="148" t="s">
        <v>136</v>
      </c>
      <c r="R4" s="148" t="s">
        <v>137</v>
      </c>
      <c r="S4" s="149" t="s">
        <v>114</v>
      </c>
    </row>
    <row r="5" spans="1:19" ht="19.649999999999999" customHeight="1">
      <c r="D5" s="150" t="s">
        <v>122</v>
      </c>
      <c r="E5" s="150" t="s">
        <v>138</v>
      </c>
      <c r="F5" s="150" t="s">
        <v>139</v>
      </c>
      <c r="G5" s="150" t="s">
        <v>12</v>
      </c>
      <c r="H5" s="151" t="s">
        <v>9</v>
      </c>
      <c r="I5" s="150" t="s">
        <v>10</v>
      </c>
      <c r="J5" s="150" t="s">
        <v>11</v>
      </c>
      <c r="K5" s="150" t="s">
        <v>12</v>
      </c>
      <c r="L5" s="151" t="s">
        <v>9</v>
      </c>
      <c r="M5" s="150" t="s">
        <v>10</v>
      </c>
      <c r="N5" s="150" t="s">
        <v>11</v>
      </c>
      <c r="O5" s="150" t="s">
        <v>12</v>
      </c>
      <c r="Q5" s="152"/>
      <c r="R5" s="152"/>
      <c r="S5" s="152" t="s">
        <v>140</v>
      </c>
    </row>
    <row r="6" spans="1:19" s="19" customFormat="1" collapsed="1">
      <c r="A6" s="16" t="s">
        <v>13</v>
      </c>
      <c r="B6" s="17"/>
      <c r="C6" s="17"/>
      <c r="H6" s="18"/>
      <c r="L6" s="18"/>
    </row>
    <row r="7" spans="1:19" s="19" customFormat="1">
      <c r="D7" s="22"/>
      <c r="E7" s="22"/>
      <c r="F7" s="22"/>
      <c r="G7" s="22"/>
      <c r="H7" s="21"/>
      <c r="I7" s="22"/>
      <c r="J7" s="22"/>
      <c r="K7" s="22"/>
      <c r="L7" s="21"/>
      <c r="M7" s="22"/>
      <c r="N7" s="22"/>
      <c r="O7" s="22"/>
      <c r="Q7" s="22"/>
      <c r="R7" s="22"/>
      <c r="S7" s="22"/>
    </row>
    <row r="8" spans="1:19" ht="19.649999999999999" customHeight="1">
      <c r="A8" s="141" t="s">
        <v>141</v>
      </c>
      <c r="D8" s="153">
        <v>467393</v>
      </c>
      <c r="E8" s="154">
        <v>471689</v>
      </c>
      <c r="F8" s="154">
        <v>457785</v>
      </c>
      <c r="G8" s="154">
        <v>506610</v>
      </c>
      <c r="H8" s="155">
        <v>459387</v>
      </c>
      <c r="I8" s="156">
        <v>458080</v>
      </c>
      <c r="J8" s="156">
        <v>469632</v>
      </c>
      <c r="K8" s="156">
        <v>537398</v>
      </c>
      <c r="L8" s="157">
        <v>521707</v>
      </c>
      <c r="M8" s="156">
        <f>M48</f>
        <v>533870</v>
      </c>
      <c r="N8" s="156">
        <v>555944</v>
      </c>
      <c r="O8" s="156">
        <v>625392</v>
      </c>
      <c r="Q8" s="154">
        <v>1903477</v>
      </c>
      <c r="R8" s="154">
        <v>1924497</v>
      </c>
      <c r="S8" s="154">
        <v>2149692</v>
      </c>
    </row>
    <row r="9" spans="1:19" ht="19.649999999999999" customHeight="1">
      <c r="A9" s="158" t="s">
        <v>142</v>
      </c>
      <c r="B9" s="158"/>
      <c r="C9" s="158"/>
      <c r="D9" s="159">
        <v>11326</v>
      </c>
      <c r="E9" s="159">
        <v>-13359</v>
      </c>
      <c r="F9" s="159">
        <v>-34975</v>
      </c>
      <c r="G9" s="159">
        <v>18940</v>
      </c>
      <c r="H9" s="160">
        <v>14281</v>
      </c>
      <c r="I9" s="159">
        <v>13107</v>
      </c>
      <c r="J9" s="159">
        <v>13095</v>
      </c>
      <c r="K9" s="159">
        <v>22951</v>
      </c>
      <c r="L9" s="160">
        <v>19069</v>
      </c>
      <c r="M9" s="159">
        <f>M52</f>
        <v>26791</v>
      </c>
      <c r="N9" s="159">
        <f>N52</f>
        <v>32341</v>
      </c>
      <c r="O9" s="159">
        <v>42189</v>
      </c>
      <c r="Q9" s="159">
        <v>-18068</v>
      </c>
      <c r="R9" s="159">
        <v>63434</v>
      </c>
      <c r="S9" s="159">
        <v>120390</v>
      </c>
    </row>
    <row r="10" spans="1:19" s="19" customFormat="1" ht="16.5" customHeight="1">
      <c r="B10" s="19" t="s">
        <v>143</v>
      </c>
      <c r="D10" s="34">
        <v>2.4232284180550415E-2</v>
      </c>
      <c r="E10" s="34">
        <v>-2.8321627173836999E-2</v>
      </c>
      <c r="F10" s="34">
        <v>-7.640049368153172E-2</v>
      </c>
      <c r="G10" s="34">
        <v>3.738576024950159E-2</v>
      </c>
      <c r="H10" s="33">
        <v>3.1087079085825239E-2</v>
      </c>
      <c r="I10" s="34">
        <v>2.8612906042612643E-2</v>
      </c>
      <c r="J10" s="34">
        <v>2.7883534341782503E-2</v>
      </c>
      <c r="K10" s="34">
        <v>4.2707639403198376E-2</v>
      </c>
      <c r="L10" s="33">
        <v>3.6551167609405279E-2</v>
      </c>
      <c r="M10" s="34">
        <f>M52/M48</f>
        <v>5.0182628729840598E-2</v>
      </c>
      <c r="N10" s="34">
        <f>N52/N48</f>
        <v>5.8173125350754751E-2</v>
      </c>
      <c r="O10" s="34">
        <f t="shared" ref="O10" si="0">O52/O48</f>
        <v>6.7460089032159026E-2</v>
      </c>
      <c r="Q10" s="34">
        <v>-9.4921031354726123E-3</v>
      </c>
      <c r="R10" s="34">
        <v>3.296134002806967E-2</v>
      </c>
      <c r="S10" s="34">
        <v>5.6003371645798564E-2</v>
      </c>
    </row>
    <row r="11" spans="1:19" ht="19.649999999999999" customHeight="1" collapsed="1">
      <c r="A11" s="143" t="s">
        <v>144</v>
      </c>
      <c r="B11" s="143"/>
      <c r="C11" s="143"/>
      <c r="D11" s="161">
        <v>4933</v>
      </c>
      <c r="E11" s="161">
        <v>-13725</v>
      </c>
      <c r="F11" s="161">
        <v>-44393</v>
      </c>
      <c r="G11" s="161">
        <v>8625</v>
      </c>
      <c r="H11" s="162">
        <v>6537</v>
      </c>
      <c r="I11" s="161">
        <v>5176</v>
      </c>
      <c r="J11" s="161">
        <v>5589</v>
      </c>
      <c r="K11" s="161">
        <v>15165</v>
      </c>
      <c r="L11" s="162">
        <v>10159</v>
      </c>
      <c r="M11" s="161">
        <f>M61</f>
        <v>14552</v>
      </c>
      <c r="N11" s="161">
        <f>N61</f>
        <v>18852</v>
      </c>
      <c r="O11" s="161">
        <v>29265</v>
      </c>
      <c r="Q11" s="161">
        <v>-44560</v>
      </c>
      <c r="R11" s="161">
        <v>32467</v>
      </c>
      <c r="S11" s="161">
        <v>72828</v>
      </c>
    </row>
    <row r="12" spans="1:19" s="19" customFormat="1" ht="16.5" customHeight="1" thickBot="1">
      <c r="A12" s="39"/>
      <c r="B12" s="39" t="s">
        <v>145</v>
      </c>
      <c r="C12" s="39"/>
      <c r="D12" s="41">
        <v>1.055428729142285E-2</v>
      </c>
      <c r="E12" s="41">
        <v>-2.9097562164901027E-2</v>
      </c>
      <c r="F12" s="41">
        <v>-9.6973470078748764E-2</v>
      </c>
      <c r="G12" s="41">
        <v>1.702493041984959E-2</v>
      </c>
      <c r="H12" s="40">
        <v>1.4229832363562747E-2</v>
      </c>
      <c r="I12" s="41">
        <v>1.1299336360461055E-2</v>
      </c>
      <c r="J12" s="41">
        <v>1.1900807440719542E-2</v>
      </c>
      <c r="K12" s="41">
        <v>2.8219308594375117E-2</v>
      </c>
      <c r="L12" s="40">
        <v>1.9472615855259754E-2</v>
      </c>
      <c r="M12" s="41">
        <f>M61/M48</f>
        <v>2.7257572068106469E-2</v>
      </c>
      <c r="N12" s="41">
        <f>N61/N48</f>
        <v>3.3909890204768825E-2</v>
      </c>
      <c r="O12" s="41">
        <f t="shared" ref="O12" si="1">O61/O48</f>
        <v>4.6794650395272086E-2</v>
      </c>
      <c r="Q12" s="41">
        <v>-2.3409791660209185E-2</v>
      </c>
      <c r="R12" s="41">
        <v>1.687038223494243E-2</v>
      </c>
      <c r="S12" s="41">
        <v>3.3878341641500269E-2</v>
      </c>
    </row>
    <row r="13" spans="1:19" ht="18.75" customHeight="1" thickBot="1">
      <c r="A13" s="163" t="s">
        <v>18</v>
      </c>
      <c r="B13" s="164"/>
      <c r="C13" s="164"/>
      <c r="D13" s="165">
        <v>-20077</v>
      </c>
      <c r="E13" s="166">
        <v>-17314</v>
      </c>
      <c r="F13" s="166">
        <v>-77145</v>
      </c>
      <c r="G13" s="166">
        <v>13299</v>
      </c>
      <c r="H13" s="165">
        <v>-15300</v>
      </c>
      <c r="I13" s="166">
        <v>-8848</v>
      </c>
      <c r="J13" s="166">
        <v>-23798</v>
      </c>
      <c r="K13" s="166">
        <v>66005</v>
      </c>
      <c r="L13" s="165">
        <v>-5425</v>
      </c>
      <c r="M13" s="166">
        <f>M111</f>
        <v>-6033</v>
      </c>
      <c r="N13" s="166">
        <f>N111</f>
        <v>-14994</v>
      </c>
      <c r="O13" s="166">
        <f t="shared" ref="O13" si="2">O111</f>
        <v>51201</v>
      </c>
      <c r="Q13" s="166">
        <v>-101237</v>
      </c>
      <c r="R13" s="166">
        <v>18059</v>
      </c>
      <c r="S13" s="166">
        <v>24749</v>
      </c>
    </row>
    <row r="14" spans="1:19" s="48" customFormat="1" ht="16.5" customHeight="1">
      <c r="B14" s="48" t="s">
        <v>19</v>
      </c>
      <c r="D14" s="34">
        <v>5.3579613462135843E-3</v>
      </c>
      <c r="E14" s="34">
        <v>-1.5524753639975025E-2</v>
      </c>
      <c r="F14" s="34">
        <v>-5.3627720239019232E-2</v>
      </c>
      <c r="G14" s="34">
        <v>0.01</v>
      </c>
      <c r="H14" s="33">
        <v>8.0946443099120698E-3</v>
      </c>
      <c r="I14" s="34">
        <v>6.4952217579889908E-3</v>
      </c>
      <c r="J14" s="34">
        <v>6.7869635411701773E-3</v>
      </c>
      <c r="K14" s="34">
        <v>1.7999999999999999E-2</v>
      </c>
      <c r="L14" s="167">
        <v>1.1183688701766283E-2</v>
      </c>
      <c r="M14" s="34">
        <f>M61/((L96+M96)/2)</f>
        <v>1.5595536324299704E-2</v>
      </c>
      <c r="N14" s="168">
        <f>N61/((M96+N96)/2)</f>
        <v>1.9326603399686091E-2</v>
      </c>
      <c r="O14" s="168">
        <f>O61/((N96+O96)/2)</f>
        <v>2.8955537690928203E-2</v>
      </c>
      <c r="Q14" s="34">
        <v>-5.0985527593227942E-2</v>
      </c>
      <c r="R14" s="34">
        <v>3.7736967513221364E-2</v>
      </c>
      <c r="S14" s="34">
        <v>7.602472567765696E-2</v>
      </c>
    </row>
    <row r="15" spans="1:19" s="53" customFormat="1" ht="16.5" customHeight="1">
      <c r="B15" s="53" t="s">
        <v>20</v>
      </c>
      <c r="D15" s="34">
        <v>0.40423699460674378</v>
      </c>
      <c r="E15" s="34">
        <v>0.39298655912375341</v>
      </c>
      <c r="F15" s="34">
        <v>0.36541870731560067</v>
      </c>
      <c r="G15" s="34">
        <v>0.35936013502475367</v>
      </c>
      <c r="H15" s="33">
        <v>0.35327521779950943</v>
      </c>
      <c r="I15" s="34">
        <v>0.36120963797855771</v>
      </c>
      <c r="J15" s="34">
        <v>0.36090738995643329</v>
      </c>
      <c r="K15" s="34">
        <v>0.38039443435561615</v>
      </c>
      <c r="L15" s="33">
        <v>0.37948119997340035</v>
      </c>
      <c r="M15" s="34">
        <f>M96/M99</f>
        <v>0.39091077509358946</v>
      </c>
      <c r="N15" s="34">
        <f>N96/N99</f>
        <v>0.39191508274807824</v>
      </c>
      <c r="O15" s="34">
        <f t="shared" ref="O15" si="3">O96/O99</f>
        <v>0.39809265690507478</v>
      </c>
      <c r="Q15" s="34">
        <v>0.35936013502475367</v>
      </c>
      <c r="R15" s="34">
        <v>0.38039443435561615</v>
      </c>
      <c r="S15" s="34">
        <v>0.39809265690507478</v>
      </c>
    </row>
    <row r="16" spans="1:19" ht="19.649999999999999" customHeight="1" collapsed="1">
      <c r="B16" s="141" t="s">
        <v>21</v>
      </c>
      <c r="D16" s="169">
        <v>653524</v>
      </c>
      <c r="E16" s="156">
        <v>642420</v>
      </c>
      <c r="F16" s="156">
        <v>752405</v>
      </c>
      <c r="G16" s="156">
        <v>741867</v>
      </c>
      <c r="H16" s="170">
        <v>758842</v>
      </c>
      <c r="I16" s="156">
        <v>742493</v>
      </c>
      <c r="J16" s="156">
        <v>789136</v>
      </c>
      <c r="K16" s="156">
        <v>702780</v>
      </c>
      <c r="L16" s="157">
        <v>724687</v>
      </c>
      <c r="M16" s="156">
        <f>M83+M87</f>
        <v>735094</v>
      </c>
      <c r="N16" s="156">
        <f>N83+N87</f>
        <v>778194</v>
      </c>
      <c r="O16" s="156">
        <f t="shared" ref="O16" si="4">O83+O87</f>
        <v>724478</v>
      </c>
      <c r="Q16" s="156">
        <v>741867</v>
      </c>
      <c r="R16" s="156">
        <v>702780</v>
      </c>
      <c r="S16" s="156">
        <v>724478</v>
      </c>
    </row>
    <row r="17" spans="1:19" ht="14.4" customHeight="1">
      <c r="D17" s="169"/>
      <c r="E17" s="156"/>
      <c r="F17" s="156"/>
      <c r="G17" s="156"/>
      <c r="H17" s="169"/>
      <c r="I17" s="156"/>
      <c r="J17" s="156"/>
      <c r="K17" s="156"/>
      <c r="L17" s="156"/>
      <c r="M17" s="156"/>
      <c r="N17" s="156"/>
      <c r="O17" s="156"/>
      <c r="Q17" s="156"/>
      <c r="R17" s="156"/>
      <c r="S17" s="156"/>
    </row>
    <row r="18" spans="1:19" s="19" customFormat="1" ht="16.5" customHeight="1">
      <c r="A18" s="54" t="s">
        <v>22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Q18" s="17"/>
      <c r="R18" s="17"/>
      <c r="S18" s="17"/>
    </row>
    <row r="19" spans="1:19" s="19" customFormat="1" ht="16.5" customHeight="1">
      <c r="A19" s="57"/>
      <c r="B19" s="57" t="s">
        <v>23</v>
      </c>
      <c r="C19" s="57"/>
      <c r="D19" s="57">
        <v>28036</v>
      </c>
      <c r="E19" s="57">
        <v>31748</v>
      </c>
      <c r="F19" s="57">
        <v>29529</v>
      </c>
      <c r="G19" s="57">
        <v>29713</v>
      </c>
      <c r="H19" s="171">
        <v>27063</v>
      </c>
      <c r="I19" s="57">
        <v>27708</v>
      </c>
      <c r="J19" s="57">
        <v>27418</v>
      </c>
      <c r="K19" s="172">
        <f>112006-J19-I19-H19</f>
        <v>29817</v>
      </c>
      <c r="L19" s="173">
        <v>28092</v>
      </c>
      <c r="M19" s="172">
        <v>29546</v>
      </c>
      <c r="N19" s="174">
        <v>28326</v>
      </c>
      <c r="O19" s="174">
        <f>116222-N19-M19-L19</f>
        <v>30258</v>
      </c>
      <c r="P19" s="57"/>
      <c r="Q19" s="57">
        <v>119027</v>
      </c>
      <c r="R19" s="57">
        <f>SUM(H19:K19)</f>
        <v>112006</v>
      </c>
      <c r="S19" s="57">
        <v>116222</v>
      </c>
    </row>
    <row r="20" spans="1:19" s="57" customFormat="1" ht="16.5" customHeight="1">
      <c r="B20" s="57" t="s">
        <v>24</v>
      </c>
      <c r="D20" s="57">
        <v>15618</v>
      </c>
      <c r="E20" s="57">
        <v>15246</v>
      </c>
      <c r="F20" s="57">
        <v>15957</v>
      </c>
      <c r="G20" s="57">
        <v>18163</v>
      </c>
      <c r="H20" s="175">
        <v>14718</v>
      </c>
      <c r="I20" s="57">
        <v>15907</v>
      </c>
      <c r="J20" s="57">
        <v>13910</v>
      </c>
      <c r="K20" s="172">
        <f>60471-J20-I20-H20</f>
        <v>15936</v>
      </c>
      <c r="L20" s="176">
        <v>16622</v>
      </c>
      <c r="M20" s="172">
        <v>18696</v>
      </c>
      <c r="N20" s="172">
        <v>18999</v>
      </c>
      <c r="O20" s="172">
        <f>72507-N20-M20-L20</f>
        <v>18190</v>
      </c>
      <c r="Q20" s="57">
        <v>64984</v>
      </c>
      <c r="R20" s="57">
        <f>SUM(H20:K20)</f>
        <v>60471</v>
      </c>
      <c r="S20" s="57">
        <v>72507</v>
      </c>
    </row>
    <row r="21" spans="1:19" s="57" customFormat="1" ht="17.25" customHeight="1">
      <c r="B21" s="57" t="s">
        <v>25</v>
      </c>
      <c r="D21" s="57">
        <v>16845</v>
      </c>
      <c r="E21" s="57">
        <v>20040</v>
      </c>
      <c r="F21" s="57">
        <v>17083</v>
      </c>
      <c r="G21" s="57">
        <v>19303</v>
      </c>
      <c r="H21" s="175">
        <v>19195</v>
      </c>
      <c r="I21" s="57">
        <v>22186</v>
      </c>
      <c r="J21" s="57">
        <v>19775</v>
      </c>
      <c r="K21" s="172">
        <f>86569-J21-I21-H21</f>
        <v>25413</v>
      </c>
      <c r="L21" s="176">
        <v>18715</v>
      </c>
      <c r="M21" s="172">
        <v>19481</v>
      </c>
      <c r="N21" s="172">
        <v>17083</v>
      </c>
      <c r="O21" s="172">
        <f>78749-N21-M21-L21</f>
        <v>23470</v>
      </c>
      <c r="Q21" s="57">
        <v>73271</v>
      </c>
      <c r="R21" s="57">
        <f>SUM(H21:K21)</f>
        <v>86569</v>
      </c>
      <c r="S21" s="57">
        <v>78749</v>
      </c>
    </row>
    <row r="22" spans="1:19" s="57" customFormat="1" ht="14.4" customHeight="1"/>
    <row r="23" spans="1:19" s="19" customFormat="1" ht="15" customHeight="1">
      <c r="A23" s="63" t="s">
        <v>26</v>
      </c>
    </row>
    <row r="24" spans="1:19" s="57" customFormat="1" ht="16.5" customHeight="1">
      <c r="A24" s="64"/>
      <c r="B24" s="64" t="s">
        <v>27</v>
      </c>
      <c r="C24" s="64"/>
      <c r="D24" s="134">
        <v>40.9</v>
      </c>
      <c r="E24" s="134">
        <v>40.5</v>
      </c>
      <c r="F24" s="134">
        <v>38.799999999999997</v>
      </c>
      <c r="G24" s="134">
        <v>38.5</v>
      </c>
      <c r="H24" s="135">
        <v>38.799999999999997</v>
      </c>
      <c r="I24" s="134">
        <v>38.299999999999997</v>
      </c>
      <c r="J24" s="134">
        <v>37.700000000000003</v>
      </c>
      <c r="K24" s="134">
        <v>37.4</v>
      </c>
      <c r="L24" s="135">
        <v>37.5</v>
      </c>
      <c r="M24" s="134">
        <v>37.299999999999997</v>
      </c>
      <c r="N24" s="134">
        <v>37.1</v>
      </c>
      <c r="O24" s="134">
        <v>36.799999999999997</v>
      </c>
      <c r="Q24" s="134">
        <v>38.5</v>
      </c>
      <c r="R24" s="134">
        <f>K24</f>
        <v>37.4</v>
      </c>
      <c r="S24" s="134">
        <v>36.799999999999997</v>
      </c>
    </row>
    <row r="25" spans="1:19" s="57" customFormat="1" ht="16.5" customHeight="1">
      <c r="B25" s="57" t="s">
        <v>28</v>
      </c>
      <c r="D25" s="48">
        <v>69</v>
      </c>
      <c r="E25" s="48">
        <v>70</v>
      </c>
      <c r="F25" s="48">
        <v>71.400000000000006</v>
      </c>
      <c r="G25" s="48">
        <v>70.7</v>
      </c>
      <c r="H25" s="136">
        <v>70.099999999999994</v>
      </c>
      <c r="I25" s="48">
        <v>70.7</v>
      </c>
      <c r="J25" s="48">
        <v>70.3</v>
      </c>
      <c r="K25" s="48">
        <v>70</v>
      </c>
      <c r="L25" s="136">
        <v>70.5</v>
      </c>
      <c r="M25" s="48">
        <v>71.400000000000006</v>
      </c>
      <c r="N25" s="48">
        <v>71.2</v>
      </c>
      <c r="O25" s="48">
        <v>71.3</v>
      </c>
      <c r="Q25" s="48">
        <v>70.7</v>
      </c>
      <c r="R25" s="48">
        <f>K25</f>
        <v>70</v>
      </c>
      <c r="S25" s="48">
        <v>71.3</v>
      </c>
    </row>
    <row r="26" spans="1:19" s="57" customFormat="1" ht="16.5" customHeight="1">
      <c r="A26" s="71"/>
      <c r="B26" s="71" t="s">
        <v>29</v>
      </c>
      <c r="C26" s="71"/>
      <c r="D26" s="137">
        <v>109.9</v>
      </c>
      <c r="E26" s="137">
        <v>110.6</v>
      </c>
      <c r="F26" s="137">
        <v>110.2</v>
      </c>
      <c r="G26" s="137">
        <v>109.2</v>
      </c>
      <c r="H26" s="138">
        <v>108.9</v>
      </c>
      <c r="I26" s="137">
        <v>109</v>
      </c>
      <c r="J26" s="137">
        <v>108.1</v>
      </c>
      <c r="K26" s="137">
        <v>107.4</v>
      </c>
      <c r="L26" s="138">
        <v>108</v>
      </c>
      <c r="M26" s="137">
        <v>108.7</v>
      </c>
      <c r="N26" s="137">
        <v>108.3</v>
      </c>
      <c r="O26" s="137">
        <v>108.1</v>
      </c>
      <c r="Q26" s="137">
        <v>109.2</v>
      </c>
      <c r="R26" s="137">
        <f>K26</f>
        <v>107.4</v>
      </c>
      <c r="S26" s="137">
        <v>108.1</v>
      </c>
    </row>
    <row r="30" spans="1:19" s="19" customFormat="1" collapsed="1">
      <c r="A30" s="75" t="s">
        <v>30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Q30" s="77"/>
      <c r="R30" s="77"/>
      <c r="S30" s="77"/>
    </row>
    <row r="31" spans="1:19" s="19" customFormat="1">
      <c r="A31" s="16"/>
      <c r="B31" s="17"/>
      <c r="C31" s="1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Q31" s="78"/>
      <c r="R31" s="78"/>
      <c r="S31" s="78"/>
    </row>
    <row r="32" spans="1:19">
      <c r="A32" s="143"/>
      <c r="B32" s="143"/>
      <c r="C32" s="143"/>
      <c r="D32" s="143"/>
      <c r="E32" s="143"/>
      <c r="F32" s="143"/>
      <c r="G32" s="143"/>
      <c r="H32" s="144"/>
      <c r="I32" s="143"/>
      <c r="J32" s="143"/>
      <c r="K32" s="143"/>
      <c r="L32" s="144"/>
      <c r="M32" s="143"/>
      <c r="N32" s="143"/>
      <c r="O32" s="143"/>
      <c r="Q32" s="143"/>
      <c r="R32" s="143"/>
      <c r="S32" s="143"/>
    </row>
    <row r="33" spans="1:19">
      <c r="D33" s="145" t="s">
        <v>146</v>
      </c>
      <c r="E33" s="146"/>
      <c r="F33" s="146"/>
      <c r="G33" s="146"/>
      <c r="H33" s="147" t="str">
        <f>H4</f>
        <v>FY2012</v>
      </c>
      <c r="I33" s="146"/>
      <c r="J33" s="146"/>
      <c r="K33" s="146"/>
      <c r="L33" s="147" t="s">
        <v>147</v>
      </c>
      <c r="M33" s="146"/>
      <c r="N33" s="146"/>
      <c r="O33" s="146"/>
      <c r="Q33" s="148" t="s">
        <v>148</v>
      </c>
      <c r="R33" s="148" t="s">
        <v>149</v>
      </c>
      <c r="S33" s="148" t="s">
        <v>150</v>
      </c>
    </row>
    <row r="34" spans="1:19" ht="19.649999999999999" customHeight="1">
      <c r="A34" s="146"/>
      <c r="B34" s="146"/>
      <c r="C34" s="146"/>
      <c r="D34" s="150" t="s">
        <v>122</v>
      </c>
      <c r="E34" s="150" t="s">
        <v>138</v>
      </c>
      <c r="F34" s="150" t="s">
        <v>139</v>
      </c>
      <c r="G34" s="150" t="s">
        <v>12</v>
      </c>
      <c r="H34" s="151" t="s">
        <v>122</v>
      </c>
      <c r="I34" s="150" t="s">
        <v>138</v>
      </c>
      <c r="J34" s="150" t="s">
        <v>139</v>
      </c>
      <c r="K34" s="150" t="s">
        <v>12</v>
      </c>
      <c r="L34" s="151" t="s">
        <v>9</v>
      </c>
      <c r="M34" s="150" t="s">
        <v>10</v>
      </c>
      <c r="N34" s="150" t="s">
        <v>11</v>
      </c>
      <c r="O34" s="150" t="s">
        <v>12</v>
      </c>
      <c r="Q34" s="152"/>
      <c r="R34" s="152"/>
      <c r="S34" s="152"/>
    </row>
    <row r="35" spans="1:19" s="19" customFormat="1" ht="16.5" customHeight="1">
      <c r="B35" s="19" t="s">
        <v>31</v>
      </c>
      <c r="D35" s="82"/>
      <c r="E35" s="82"/>
      <c r="F35" s="82"/>
      <c r="G35" s="82"/>
      <c r="H35" s="81"/>
      <c r="I35" s="82"/>
      <c r="J35" s="82"/>
      <c r="K35" s="82"/>
      <c r="L35" s="81"/>
      <c r="M35" s="82"/>
      <c r="N35" s="82"/>
      <c r="O35" s="82"/>
      <c r="Q35" s="84">
        <v>-61.42</v>
      </c>
      <c r="R35" s="177">
        <v>44.78</v>
      </c>
      <c r="S35" s="177">
        <v>100.46</v>
      </c>
    </row>
    <row r="36" spans="1:19" s="19" customFormat="1" ht="16.5" customHeight="1">
      <c r="B36" s="19" t="s">
        <v>32</v>
      </c>
      <c r="D36" s="82"/>
      <c r="E36" s="82"/>
      <c r="F36" s="82"/>
      <c r="G36" s="82"/>
      <c r="H36" s="81"/>
      <c r="I36" s="82"/>
      <c r="J36" s="82"/>
      <c r="K36" s="82"/>
      <c r="L36" s="81"/>
      <c r="M36" s="82"/>
      <c r="N36" s="82"/>
      <c r="O36" s="82"/>
      <c r="Q36" s="84">
        <v>-61.42</v>
      </c>
      <c r="R36" s="85">
        <v>44.78</v>
      </c>
      <c r="S36" s="85">
        <v>100.46</v>
      </c>
    </row>
    <row r="37" spans="1:19" s="19" customFormat="1" ht="16.5" customHeight="1">
      <c r="B37" s="19" t="s">
        <v>33</v>
      </c>
      <c r="D37" s="82"/>
      <c r="E37" s="82"/>
      <c r="F37" s="82"/>
      <c r="G37" s="82"/>
      <c r="H37" s="81"/>
      <c r="I37" s="82"/>
      <c r="J37" s="82"/>
      <c r="K37" s="82"/>
      <c r="L37" s="81"/>
      <c r="M37" s="82"/>
      <c r="N37" s="82"/>
      <c r="O37" s="82"/>
      <c r="Q37" s="177">
        <v>25</v>
      </c>
      <c r="R37" s="177">
        <v>29</v>
      </c>
      <c r="S37" s="177">
        <v>33</v>
      </c>
    </row>
    <row r="38" spans="1:19" s="19" customFormat="1" ht="15" customHeight="1">
      <c r="B38" s="19" t="s">
        <v>34</v>
      </c>
      <c r="D38" s="82"/>
      <c r="E38" s="82"/>
      <c r="F38" s="82"/>
      <c r="G38" s="82"/>
      <c r="H38" s="81"/>
      <c r="I38" s="82"/>
      <c r="J38" s="82"/>
      <c r="K38" s="82"/>
      <c r="L38" s="81"/>
      <c r="M38" s="82"/>
      <c r="N38" s="82"/>
      <c r="O38" s="82"/>
      <c r="Q38" s="178" t="s">
        <v>35</v>
      </c>
      <c r="R38" s="86">
        <v>0.65</v>
      </c>
      <c r="S38" s="86">
        <v>0.3284889508261995</v>
      </c>
    </row>
    <row r="39" spans="1:19" s="19" customFormat="1" ht="15" customHeight="1">
      <c r="B39" s="19" t="s">
        <v>36</v>
      </c>
      <c r="D39" s="82"/>
      <c r="E39" s="82"/>
      <c r="F39" s="82"/>
      <c r="G39" s="82"/>
      <c r="H39" s="81"/>
      <c r="I39" s="82"/>
      <c r="J39" s="82"/>
      <c r="K39" s="82"/>
      <c r="L39" s="81"/>
      <c r="M39" s="82"/>
      <c r="N39" s="82"/>
      <c r="O39" s="82"/>
      <c r="Q39" s="53">
        <v>1134.6400000000001</v>
      </c>
      <c r="R39" s="53">
        <v>1238.55</v>
      </c>
      <c r="S39" s="53">
        <v>1404.55</v>
      </c>
    </row>
    <row r="43" spans="1:19" ht="25.65" customHeight="1">
      <c r="A43" s="139" t="s">
        <v>37</v>
      </c>
      <c r="B43" s="140"/>
      <c r="C43" s="140"/>
    </row>
    <row r="44" spans="1:19" ht="13.95" customHeight="1">
      <c r="A44" s="142"/>
    </row>
    <row r="45" spans="1:19">
      <c r="A45" s="143"/>
      <c r="B45" s="143"/>
      <c r="C45" s="143"/>
      <c r="D45" s="143"/>
      <c r="E45" s="143"/>
      <c r="F45" s="143"/>
      <c r="G45" s="143"/>
      <c r="H45" s="144"/>
      <c r="I45" s="143"/>
      <c r="J45" s="143"/>
      <c r="K45" s="143"/>
      <c r="L45" s="144"/>
      <c r="M45" s="143"/>
      <c r="N45" s="143"/>
      <c r="O45" s="143"/>
      <c r="Q45" s="143"/>
      <c r="R45" s="143"/>
      <c r="S45" s="143"/>
    </row>
    <row r="46" spans="1:19">
      <c r="D46" s="145" t="s">
        <v>146</v>
      </c>
      <c r="E46" s="146"/>
      <c r="F46" s="146"/>
      <c r="G46" s="146"/>
      <c r="H46" s="147" t="str">
        <f>H4</f>
        <v>FY2012</v>
      </c>
      <c r="I46" s="146"/>
      <c r="J46" s="146"/>
      <c r="K46" s="146"/>
      <c r="L46" s="147" t="s">
        <v>147</v>
      </c>
      <c r="M46" s="146"/>
      <c r="N46" s="146"/>
      <c r="O46" s="146"/>
      <c r="Q46" s="148" t="s">
        <v>148</v>
      </c>
      <c r="R46" s="148" t="s">
        <v>149</v>
      </c>
      <c r="S46" s="148" t="s">
        <v>150</v>
      </c>
    </row>
    <row r="47" spans="1:19" ht="19.649999999999999" customHeight="1">
      <c r="A47" s="146"/>
      <c r="B47" s="146"/>
      <c r="C47" s="146"/>
      <c r="D47" s="150" t="s">
        <v>122</v>
      </c>
      <c r="E47" s="150" t="s">
        <v>138</v>
      </c>
      <c r="F47" s="150" t="s">
        <v>139</v>
      </c>
      <c r="G47" s="150" t="s">
        <v>12</v>
      </c>
      <c r="H47" s="151" t="s">
        <v>9</v>
      </c>
      <c r="I47" s="150" t="s">
        <v>10</v>
      </c>
      <c r="J47" s="150" t="s">
        <v>11</v>
      </c>
      <c r="K47" s="150" t="s">
        <v>12</v>
      </c>
      <c r="L47" s="151" t="s">
        <v>9</v>
      </c>
      <c r="M47" s="150" t="s">
        <v>10</v>
      </c>
      <c r="N47" s="150" t="s">
        <v>11</v>
      </c>
      <c r="O47" s="150" t="s">
        <v>12</v>
      </c>
      <c r="Q47" s="152"/>
      <c r="R47" s="152"/>
      <c r="S47" s="152" t="s">
        <v>140</v>
      </c>
    </row>
    <row r="48" spans="1:19" ht="19.649999999999999" customHeight="1">
      <c r="A48" s="141" t="s">
        <v>141</v>
      </c>
      <c r="D48" s="153">
        <v>467393</v>
      </c>
      <c r="E48" s="154">
        <v>471689</v>
      </c>
      <c r="F48" s="154">
        <v>457785</v>
      </c>
      <c r="G48" s="154">
        <v>506610</v>
      </c>
      <c r="H48" s="155">
        <v>459387</v>
      </c>
      <c r="I48" s="154">
        <v>458080</v>
      </c>
      <c r="J48" s="154">
        <v>469632</v>
      </c>
      <c r="K48" s="154">
        <v>537398</v>
      </c>
      <c r="L48" s="157">
        <v>521707</v>
      </c>
      <c r="M48" s="154">
        <v>533870</v>
      </c>
      <c r="N48" s="156">
        <v>555944</v>
      </c>
      <c r="O48" s="156">
        <v>625392</v>
      </c>
      <c r="Q48" s="154">
        <v>1903477</v>
      </c>
      <c r="R48" s="154">
        <f t="shared" ref="R48:R61" si="5">SUM(H48:K48)</f>
        <v>1924497</v>
      </c>
      <c r="S48" s="154">
        <v>2149692</v>
      </c>
    </row>
    <row r="49" spans="1:19" ht="19.649999999999999" customHeight="1">
      <c r="A49" s="141" t="s">
        <v>151</v>
      </c>
      <c r="D49" s="153">
        <v>269802</v>
      </c>
      <c r="E49" s="154">
        <v>282428</v>
      </c>
      <c r="F49" s="154">
        <v>276379</v>
      </c>
      <c r="G49" s="154">
        <v>322246</v>
      </c>
      <c r="H49" s="155">
        <v>269489</v>
      </c>
      <c r="I49" s="154">
        <v>273572</v>
      </c>
      <c r="J49" s="154">
        <v>280636</v>
      </c>
      <c r="K49" s="154">
        <v>332199</v>
      </c>
      <c r="L49" s="157">
        <v>307589</v>
      </c>
      <c r="M49" s="154">
        <v>317598</v>
      </c>
      <c r="N49" s="156">
        <v>329315</v>
      </c>
      <c r="O49" s="156">
        <v>388101</v>
      </c>
      <c r="Q49" s="154">
        <v>1150855</v>
      </c>
      <c r="R49" s="154">
        <f t="shared" si="5"/>
        <v>1155896</v>
      </c>
      <c r="S49" s="154">
        <v>1255382</v>
      </c>
    </row>
    <row r="50" spans="1:19" ht="19.649999999999999" customHeight="1">
      <c r="A50" s="158" t="s">
        <v>39</v>
      </c>
      <c r="B50" s="158"/>
      <c r="C50" s="158"/>
      <c r="D50" s="159">
        <v>197591</v>
      </c>
      <c r="E50" s="159">
        <v>189261</v>
      </c>
      <c r="F50" s="159">
        <v>181406</v>
      </c>
      <c r="G50" s="159">
        <v>184364</v>
      </c>
      <c r="H50" s="160">
        <v>189898</v>
      </c>
      <c r="I50" s="159">
        <v>184508</v>
      </c>
      <c r="J50" s="159">
        <v>188996</v>
      </c>
      <c r="K50" s="159">
        <v>205199</v>
      </c>
      <c r="L50" s="160">
        <v>214118</v>
      </c>
      <c r="M50" s="159">
        <v>216272</v>
      </c>
      <c r="N50" s="159">
        <v>226629</v>
      </c>
      <c r="O50" s="159">
        <v>237291</v>
      </c>
      <c r="Q50" s="159">
        <v>752622</v>
      </c>
      <c r="R50" s="159">
        <f t="shared" si="5"/>
        <v>768601</v>
      </c>
      <c r="S50" s="159">
        <v>894310</v>
      </c>
    </row>
    <row r="51" spans="1:19" ht="19.649999999999999" customHeight="1">
      <c r="A51" s="141" t="s">
        <v>40</v>
      </c>
      <c r="D51" s="153">
        <v>186265</v>
      </c>
      <c r="E51" s="154">
        <v>202620</v>
      </c>
      <c r="F51" s="154">
        <v>216381</v>
      </c>
      <c r="G51" s="154">
        <v>165424</v>
      </c>
      <c r="H51" s="155">
        <v>175617</v>
      </c>
      <c r="I51" s="154">
        <v>171401</v>
      </c>
      <c r="J51" s="154">
        <v>175901</v>
      </c>
      <c r="K51" s="154">
        <v>182248</v>
      </c>
      <c r="L51" s="157">
        <v>195049</v>
      </c>
      <c r="M51" s="154">
        <v>189481</v>
      </c>
      <c r="N51" s="156">
        <v>194288</v>
      </c>
      <c r="O51" s="156">
        <v>195102</v>
      </c>
      <c r="Q51" s="154">
        <v>770690</v>
      </c>
      <c r="R51" s="154">
        <f t="shared" si="5"/>
        <v>705167</v>
      </c>
      <c r="S51" s="154">
        <v>773920</v>
      </c>
    </row>
    <row r="52" spans="1:19" ht="19.649999999999999" customHeight="1">
      <c r="A52" s="158" t="s">
        <v>142</v>
      </c>
      <c r="B52" s="158"/>
      <c r="C52" s="158"/>
      <c r="D52" s="159">
        <v>11326</v>
      </c>
      <c r="E52" s="159">
        <v>-13359</v>
      </c>
      <c r="F52" s="159">
        <v>-34975</v>
      </c>
      <c r="G52" s="159">
        <v>18940</v>
      </c>
      <c r="H52" s="160">
        <v>14281</v>
      </c>
      <c r="I52" s="159">
        <v>13107</v>
      </c>
      <c r="J52" s="159">
        <v>13095</v>
      </c>
      <c r="K52" s="159">
        <v>22951</v>
      </c>
      <c r="L52" s="160">
        <v>19069</v>
      </c>
      <c r="M52" s="159">
        <v>26791</v>
      </c>
      <c r="N52" s="159">
        <v>32341</v>
      </c>
      <c r="O52" s="159">
        <v>42189</v>
      </c>
      <c r="Q52" s="159">
        <v>-18068</v>
      </c>
      <c r="R52" s="159">
        <f t="shared" si="5"/>
        <v>63434</v>
      </c>
      <c r="S52" s="159">
        <v>120390</v>
      </c>
    </row>
    <row r="53" spans="1:19" ht="19.649999999999999" customHeight="1">
      <c r="B53" s="141" t="s">
        <v>152</v>
      </c>
      <c r="D53" s="153">
        <v>-607</v>
      </c>
      <c r="E53" s="153">
        <v>-896</v>
      </c>
      <c r="F53" s="153">
        <v>-514</v>
      </c>
      <c r="G53" s="153">
        <v>-1112</v>
      </c>
      <c r="H53" s="155">
        <v>-842</v>
      </c>
      <c r="I53" s="153">
        <v>-694</v>
      </c>
      <c r="J53" s="153">
        <v>-380</v>
      </c>
      <c r="K53" s="153">
        <v>-1132</v>
      </c>
      <c r="L53" s="155">
        <v>-517</v>
      </c>
      <c r="M53" s="153">
        <v>-613</v>
      </c>
      <c r="N53" s="179">
        <v>-418</v>
      </c>
      <c r="O53" s="179">
        <v>-1040</v>
      </c>
      <c r="Q53" s="153">
        <v>-3129</v>
      </c>
      <c r="R53" s="153">
        <f t="shared" si="5"/>
        <v>-3048</v>
      </c>
      <c r="S53" s="153">
        <v>-2588</v>
      </c>
    </row>
    <row r="54" spans="1:19" ht="19.649999999999999" customHeight="1">
      <c r="B54" s="141" t="s">
        <v>153</v>
      </c>
      <c r="D54" s="153">
        <v>1463</v>
      </c>
      <c r="E54" s="154">
        <v>1967</v>
      </c>
      <c r="F54" s="154">
        <v>1541</v>
      </c>
      <c r="G54" s="154">
        <v>2008</v>
      </c>
      <c r="H54" s="155">
        <v>1521</v>
      </c>
      <c r="I54" s="154">
        <v>2034</v>
      </c>
      <c r="J54" s="154">
        <v>1492</v>
      </c>
      <c r="K54" s="154">
        <v>2330</v>
      </c>
      <c r="L54" s="157">
        <v>1415</v>
      </c>
      <c r="M54" s="154">
        <v>2213</v>
      </c>
      <c r="N54" s="156">
        <v>1609</v>
      </c>
      <c r="O54" s="156">
        <v>2293</v>
      </c>
      <c r="Q54" s="154">
        <v>6979</v>
      </c>
      <c r="R54" s="154">
        <f t="shared" si="5"/>
        <v>7377</v>
      </c>
      <c r="S54" s="154">
        <v>7530</v>
      </c>
    </row>
    <row r="55" spans="1:19" ht="19.649999999999999" customHeight="1">
      <c r="B55" s="141" t="s">
        <v>154</v>
      </c>
      <c r="D55" s="153">
        <v>1183</v>
      </c>
      <c r="E55" s="154">
        <v>4581</v>
      </c>
      <c r="F55" s="154">
        <v>2843</v>
      </c>
      <c r="G55" s="154">
        <v>1412</v>
      </c>
      <c r="H55" s="155">
        <v>1327</v>
      </c>
      <c r="I55" s="153">
        <v>-448</v>
      </c>
      <c r="J55" s="154">
        <v>199</v>
      </c>
      <c r="K55" s="153">
        <v>-146</v>
      </c>
      <c r="L55" s="155">
        <v>-369</v>
      </c>
      <c r="M55" s="153">
        <v>-652</v>
      </c>
      <c r="N55" s="179">
        <v>-361</v>
      </c>
      <c r="O55" s="179">
        <v>-374</v>
      </c>
      <c r="Q55" s="154">
        <v>10019</v>
      </c>
      <c r="R55" s="154">
        <f t="shared" si="5"/>
        <v>932</v>
      </c>
      <c r="S55" s="154">
        <v>-1756</v>
      </c>
    </row>
    <row r="56" spans="1:19" ht="19.649999999999999" customHeight="1">
      <c r="A56" s="158" t="s">
        <v>43</v>
      </c>
      <c r="B56" s="158"/>
      <c r="C56" s="158"/>
      <c r="D56" s="159">
        <v>2039</v>
      </c>
      <c r="E56" s="159">
        <v>5652</v>
      </c>
      <c r="F56" s="159">
        <v>3870</v>
      </c>
      <c r="G56" s="159">
        <v>2308</v>
      </c>
      <c r="H56" s="160">
        <v>2006</v>
      </c>
      <c r="I56" s="159">
        <v>892</v>
      </c>
      <c r="J56" s="159">
        <f>SUM(J53:J55)</f>
        <v>1311</v>
      </c>
      <c r="K56" s="159">
        <v>1052</v>
      </c>
      <c r="L56" s="160">
        <v>529</v>
      </c>
      <c r="M56" s="159">
        <v>948</v>
      </c>
      <c r="N56" s="159">
        <f>SUM(N53:N55)</f>
        <v>830</v>
      </c>
      <c r="O56" s="159">
        <v>879</v>
      </c>
      <c r="Q56" s="159">
        <v>13869</v>
      </c>
      <c r="R56" s="159">
        <f t="shared" si="5"/>
        <v>5261</v>
      </c>
      <c r="S56" s="159">
        <v>3186</v>
      </c>
    </row>
    <row r="57" spans="1:19" ht="19.649999999999999" customHeight="1">
      <c r="A57" s="146" t="s">
        <v>155</v>
      </c>
      <c r="B57" s="146"/>
      <c r="C57" s="146"/>
      <c r="D57" s="180">
        <v>9287</v>
      </c>
      <c r="E57" s="180">
        <v>-19011</v>
      </c>
      <c r="F57" s="180">
        <v>-38845</v>
      </c>
      <c r="G57" s="180">
        <v>16632</v>
      </c>
      <c r="H57" s="181">
        <v>12275</v>
      </c>
      <c r="I57" s="180">
        <v>12215</v>
      </c>
      <c r="J57" s="180">
        <v>11784</v>
      </c>
      <c r="K57" s="180">
        <v>21899</v>
      </c>
      <c r="L57" s="181">
        <v>18540</v>
      </c>
      <c r="M57" s="180">
        <v>25843</v>
      </c>
      <c r="N57" s="180">
        <v>31511</v>
      </c>
      <c r="O57" s="180">
        <v>41310</v>
      </c>
      <c r="Q57" s="180">
        <v>-31937</v>
      </c>
      <c r="R57" s="180">
        <f t="shared" si="5"/>
        <v>58173</v>
      </c>
      <c r="S57" s="180">
        <v>117204</v>
      </c>
    </row>
    <row r="58" spans="1:19" ht="19.649999999999999" customHeight="1">
      <c r="A58" s="158" t="s">
        <v>156</v>
      </c>
      <c r="B58" s="158"/>
      <c r="C58" s="158"/>
      <c r="D58" s="159">
        <v>3171</v>
      </c>
      <c r="E58" s="159">
        <v>-6254</v>
      </c>
      <c r="F58" s="159">
        <v>4346</v>
      </c>
      <c r="G58" s="159">
        <v>6960</v>
      </c>
      <c r="H58" s="160">
        <v>4669</v>
      </c>
      <c r="I58" s="159">
        <v>5732</v>
      </c>
      <c r="J58" s="159">
        <v>5109</v>
      </c>
      <c r="K58" s="159">
        <v>5328</v>
      </c>
      <c r="L58" s="160">
        <v>6977</v>
      </c>
      <c r="M58" s="159">
        <v>9836</v>
      </c>
      <c r="N58" s="159">
        <v>11350</v>
      </c>
      <c r="O58" s="159">
        <v>10501</v>
      </c>
      <c r="Q58" s="159">
        <v>8223</v>
      </c>
      <c r="R58" s="159">
        <f t="shared" si="5"/>
        <v>20838</v>
      </c>
      <c r="S58" s="159">
        <v>38664</v>
      </c>
    </row>
    <row r="59" spans="1:19" ht="19.649999999999999" customHeight="1">
      <c r="A59" s="141" t="s">
        <v>157</v>
      </c>
      <c r="D59" s="153">
        <v>-8</v>
      </c>
      <c r="E59" s="153">
        <v>7</v>
      </c>
      <c r="F59" s="153">
        <v>18</v>
      </c>
      <c r="G59" s="153">
        <v>22</v>
      </c>
      <c r="H59" s="155">
        <v>41</v>
      </c>
      <c r="I59" s="153">
        <v>16</v>
      </c>
      <c r="J59" s="153">
        <v>-10</v>
      </c>
      <c r="K59" s="153">
        <v>-16</v>
      </c>
      <c r="L59" s="155">
        <v>-17</v>
      </c>
      <c r="M59" s="153">
        <v>-18</v>
      </c>
      <c r="N59" s="179">
        <v>6</v>
      </c>
      <c r="O59" s="179">
        <v>-4</v>
      </c>
      <c r="Q59" s="153">
        <v>39</v>
      </c>
      <c r="R59" s="153">
        <f t="shared" si="5"/>
        <v>31</v>
      </c>
      <c r="S59" s="153">
        <v>-33</v>
      </c>
    </row>
    <row r="60" spans="1:19" ht="19.649999999999999" customHeight="1">
      <c r="A60" s="158" t="s">
        <v>158</v>
      </c>
      <c r="B60" s="158"/>
      <c r="C60" s="158"/>
      <c r="D60" s="159">
        <v>1175</v>
      </c>
      <c r="E60" s="159">
        <v>975</v>
      </c>
      <c r="F60" s="159">
        <v>1220</v>
      </c>
      <c r="G60" s="159">
        <v>1069</v>
      </c>
      <c r="H60" s="160">
        <v>1110</v>
      </c>
      <c r="I60" s="159">
        <v>1323</v>
      </c>
      <c r="J60" s="159">
        <v>1076</v>
      </c>
      <c r="K60" s="159">
        <v>1390</v>
      </c>
      <c r="L60" s="160">
        <v>1387</v>
      </c>
      <c r="M60" s="159">
        <v>1437</v>
      </c>
      <c r="N60" s="159">
        <v>1315</v>
      </c>
      <c r="O60" s="159">
        <v>1540</v>
      </c>
      <c r="Q60" s="159">
        <v>4439</v>
      </c>
      <c r="R60" s="159">
        <f t="shared" si="5"/>
        <v>4899</v>
      </c>
      <c r="S60" s="159">
        <v>5679</v>
      </c>
    </row>
    <row r="61" spans="1:19" ht="19.649999999999999" customHeight="1" thickBot="1">
      <c r="A61" s="182" t="s">
        <v>144</v>
      </c>
      <c r="B61" s="182"/>
      <c r="C61" s="182"/>
      <c r="D61" s="183">
        <v>4933</v>
      </c>
      <c r="E61" s="183">
        <v>-13725</v>
      </c>
      <c r="F61" s="183">
        <v>-44393</v>
      </c>
      <c r="G61" s="183">
        <v>8625</v>
      </c>
      <c r="H61" s="184">
        <v>6537</v>
      </c>
      <c r="I61" s="183">
        <v>5176</v>
      </c>
      <c r="J61" s="183">
        <v>5589</v>
      </c>
      <c r="K61" s="183">
        <v>15165</v>
      </c>
      <c r="L61" s="184">
        <v>10159</v>
      </c>
      <c r="M61" s="183">
        <v>14552</v>
      </c>
      <c r="N61" s="183">
        <v>18852</v>
      </c>
      <c r="O61" s="183">
        <v>29265</v>
      </c>
      <c r="Q61" s="183">
        <v>-44560</v>
      </c>
      <c r="R61" s="183">
        <f t="shared" si="5"/>
        <v>32467</v>
      </c>
      <c r="S61" s="183">
        <v>72828</v>
      </c>
    </row>
    <row r="62" spans="1:19">
      <c r="H62" s="185"/>
      <c r="I62" s="185"/>
      <c r="J62" s="185"/>
      <c r="K62" s="185"/>
      <c r="L62" s="185"/>
      <c r="M62" s="185"/>
      <c r="N62" s="185"/>
      <c r="O62" s="185"/>
      <c r="Q62" s="185"/>
      <c r="R62" s="185"/>
      <c r="S62" s="185"/>
    </row>
    <row r="64" spans="1:19" s="142" customFormat="1">
      <c r="A64" s="139" t="s">
        <v>49</v>
      </c>
      <c r="B64" s="139"/>
      <c r="C64" s="139"/>
    </row>
    <row r="66" spans="1:19">
      <c r="A66" s="143"/>
      <c r="B66" s="143"/>
      <c r="C66" s="143"/>
      <c r="D66" s="143"/>
      <c r="E66" s="143"/>
      <c r="F66" s="143"/>
      <c r="G66" s="143"/>
      <c r="H66" s="144"/>
      <c r="I66" s="143"/>
      <c r="J66" s="143"/>
      <c r="K66" s="143"/>
      <c r="L66" s="144"/>
      <c r="M66" s="143"/>
      <c r="N66" s="143"/>
      <c r="O66" s="143"/>
      <c r="Q66" s="143"/>
      <c r="R66" s="143"/>
      <c r="S66" s="143"/>
    </row>
    <row r="67" spans="1:19">
      <c r="D67" s="146" t="s">
        <v>148</v>
      </c>
      <c r="E67" s="146"/>
      <c r="F67" s="146"/>
      <c r="G67" s="146"/>
      <c r="H67" s="186" t="str">
        <f>H4</f>
        <v>FY2012</v>
      </c>
      <c r="I67" s="146"/>
      <c r="J67" s="146"/>
      <c r="K67" s="146"/>
      <c r="L67" s="147" t="s">
        <v>147</v>
      </c>
      <c r="M67" s="146"/>
      <c r="N67" s="146"/>
      <c r="O67" s="146"/>
      <c r="Q67" s="148" t="s">
        <v>148</v>
      </c>
      <c r="R67" s="148" t="s">
        <v>149</v>
      </c>
      <c r="S67" s="148" t="s">
        <v>150</v>
      </c>
    </row>
    <row r="68" spans="1:19" ht="27.15" customHeight="1">
      <c r="A68" s="146" t="s">
        <v>50</v>
      </c>
      <c r="B68" s="146"/>
      <c r="C68" s="187"/>
      <c r="D68" s="150" t="s">
        <v>122</v>
      </c>
      <c r="E68" s="150" t="s">
        <v>138</v>
      </c>
      <c r="F68" s="150" t="s">
        <v>139</v>
      </c>
      <c r="G68" s="150" t="s">
        <v>12</v>
      </c>
      <c r="H68" s="151" t="s">
        <v>9</v>
      </c>
      <c r="I68" s="150" t="s">
        <v>10</v>
      </c>
      <c r="J68" s="150" t="s">
        <v>11</v>
      </c>
      <c r="K68" s="150" t="s">
        <v>12</v>
      </c>
      <c r="L68" s="151" t="s">
        <v>9</v>
      </c>
      <c r="M68" s="150" t="s">
        <v>10</v>
      </c>
      <c r="N68" s="150" t="s">
        <v>11</v>
      </c>
      <c r="O68" s="150" t="s">
        <v>12</v>
      </c>
      <c r="Q68" s="152"/>
      <c r="R68" s="152"/>
      <c r="S68" s="152"/>
    </row>
    <row r="69" spans="1:19" ht="19.649999999999999" customHeight="1">
      <c r="B69" s="141" t="s">
        <v>51</v>
      </c>
      <c r="D69" s="169">
        <v>162719</v>
      </c>
      <c r="E69" s="156">
        <v>133610</v>
      </c>
      <c r="F69" s="156">
        <v>151887</v>
      </c>
      <c r="G69" s="156">
        <v>156210</v>
      </c>
      <c r="H69" s="170">
        <v>148501</v>
      </c>
      <c r="I69" s="156">
        <v>122965</v>
      </c>
      <c r="J69" s="156">
        <v>134408</v>
      </c>
      <c r="K69" s="156">
        <v>117051</v>
      </c>
      <c r="L69" s="157">
        <v>123550</v>
      </c>
      <c r="M69" s="156">
        <v>125258</v>
      </c>
      <c r="N69" s="156">
        <v>144126</v>
      </c>
      <c r="O69" s="156">
        <v>140047</v>
      </c>
      <c r="Q69" s="156">
        <v>156210</v>
      </c>
      <c r="R69" s="156">
        <f>K69</f>
        <v>117051</v>
      </c>
      <c r="S69" s="156">
        <v>140047</v>
      </c>
    </row>
    <row r="70" spans="1:19" ht="19.649999999999999" customHeight="1">
      <c r="B70" s="141" t="s">
        <v>52</v>
      </c>
      <c r="D70" s="169">
        <v>2244</v>
      </c>
      <c r="E70" s="156">
        <v>2294</v>
      </c>
      <c r="F70" s="156">
        <v>2550</v>
      </c>
      <c r="G70" s="156">
        <v>2461</v>
      </c>
      <c r="H70" s="170">
        <v>4324</v>
      </c>
      <c r="I70" s="156">
        <v>3308</v>
      </c>
      <c r="J70" s="156">
        <v>4017</v>
      </c>
      <c r="K70" s="156">
        <v>3280</v>
      </c>
      <c r="L70" s="157">
        <v>4457</v>
      </c>
      <c r="M70" s="156">
        <v>3591</v>
      </c>
      <c r="N70" s="156">
        <v>3730</v>
      </c>
      <c r="O70" s="156">
        <v>4057</v>
      </c>
      <c r="Q70" s="156">
        <v>2461</v>
      </c>
      <c r="R70" s="156">
        <f>K70</f>
        <v>3280</v>
      </c>
      <c r="S70" s="156">
        <v>4057</v>
      </c>
    </row>
    <row r="71" spans="1:19" ht="19.649999999999999" customHeight="1">
      <c r="B71" s="141" t="s">
        <v>159</v>
      </c>
      <c r="D71" s="169"/>
      <c r="E71" s="156"/>
      <c r="F71" s="156"/>
      <c r="G71" s="156"/>
      <c r="H71" s="170"/>
      <c r="I71" s="156"/>
      <c r="J71" s="156"/>
      <c r="K71" s="156"/>
      <c r="L71" s="157"/>
      <c r="M71" s="156"/>
      <c r="N71" s="156"/>
      <c r="O71" s="156"/>
      <c r="Q71" s="156"/>
      <c r="R71" s="156"/>
      <c r="S71" s="156"/>
    </row>
    <row r="72" spans="1:19" ht="19.649999999999999" customHeight="1">
      <c r="B72" s="141" t="s">
        <v>160</v>
      </c>
      <c r="D72" s="169">
        <v>648113</v>
      </c>
      <c r="E72" s="156">
        <v>622456</v>
      </c>
      <c r="F72" s="156">
        <v>625270</v>
      </c>
      <c r="G72" s="156">
        <v>686930</v>
      </c>
      <c r="H72" s="170">
        <v>665871</v>
      </c>
      <c r="I72" s="156">
        <v>660307</v>
      </c>
      <c r="J72" s="156">
        <v>709822</v>
      </c>
      <c r="K72" s="156">
        <v>745470</v>
      </c>
      <c r="L72" s="157">
        <v>758890</v>
      </c>
      <c r="M72" s="156">
        <v>759108</v>
      </c>
      <c r="N72" s="156">
        <v>807984</v>
      </c>
      <c r="O72" s="156">
        <v>821998</v>
      </c>
      <c r="Q72" s="156">
        <v>686930</v>
      </c>
      <c r="R72" s="156">
        <f t="shared" ref="R72:R80" si="6">K72</f>
        <v>745470</v>
      </c>
      <c r="S72" s="156">
        <v>821998</v>
      </c>
    </row>
    <row r="73" spans="1:19" ht="19.649999999999999" customHeight="1">
      <c r="B73" s="141" t="s">
        <v>55</v>
      </c>
      <c r="D73" s="169">
        <v>187966</v>
      </c>
      <c r="E73" s="156">
        <v>188566</v>
      </c>
      <c r="F73" s="156">
        <v>201364</v>
      </c>
      <c r="G73" s="156">
        <v>195009</v>
      </c>
      <c r="H73" s="170">
        <v>199426</v>
      </c>
      <c r="I73" s="156">
        <v>196695</v>
      </c>
      <c r="J73" s="156">
        <v>212155</v>
      </c>
      <c r="K73" s="156">
        <v>195367</v>
      </c>
      <c r="L73" s="157">
        <v>205441</v>
      </c>
      <c r="M73" s="156">
        <v>209760</v>
      </c>
      <c r="N73" s="156">
        <v>228469</v>
      </c>
      <c r="O73" s="156">
        <v>194789</v>
      </c>
      <c r="Q73" s="156">
        <v>195009</v>
      </c>
      <c r="R73" s="156">
        <f t="shared" si="6"/>
        <v>195367</v>
      </c>
      <c r="S73" s="156">
        <v>194789</v>
      </c>
    </row>
    <row r="74" spans="1:19" ht="19.649999999999999" customHeight="1">
      <c r="B74" s="141" t="s">
        <v>56</v>
      </c>
      <c r="D74" s="188">
        <v>65154</v>
      </c>
      <c r="E74" s="156">
        <v>61113</v>
      </c>
      <c r="F74" s="156">
        <v>55572</v>
      </c>
      <c r="G74" s="156">
        <v>65896</v>
      </c>
      <c r="H74" s="189">
        <v>69007</v>
      </c>
      <c r="I74" s="156">
        <v>65286</v>
      </c>
      <c r="J74" s="156">
        <v>63003</v>
      </c>
      <c r="K74" s="156">
        <v>65051</v>
      </c>
      <c r="L74" s="157">
        <v>65566</v>
      </c>
      <c r="M74" s="156">
        <v>60843</v>
      </c>
      <c r="N74" s="156">
        <v>67115</v>
      </c>
      <c r="O74" s="156">
        <v>63952</v>
      </c>
      <c r="Q74" s="156">
        <v>65896</v>
      </c>
      <c r="R74" s="156">
        <f t="shared" si="6"/>
        <v>65051</v>
      </c>
      <c r="S74" s="156">
        <v>63952</v>
      </c>
    </row>
    <row r="75" spans="1:19" ht="19.649999999999999" customHeight="1">
      <c r="A75" s="158"/>
      <c r="B75" s="158"/>
      <c r="C75" s="158" t="s">
        <v>58</v>
      </c>
      <c r="D75" s="159">
        <v>1066196</v>
      </c>
      <c r="E75" s="159">
        <v>1008039</v>
      </c>
      <c r="F75" s="159">
        <v>1036643</v>
      </c>
      <c r="G75" s="159">
        <v>1106506</v>
      </c>
      <c r="H75" s="160">
        <v>1087129</v>
      </c>
      <c r="I75" s="159">
        <v>1048561</v>
      </c>
      <c r="J75" s="159">
        <v>1123405</v>
      </c>
      <c r="K75" s="159">
        <v>1126219</v>
      </c>
      <c r="L75" s="160">
        <v>1157904</v>
      </c>
      <c r="M75" s="159">
        <v>1158560</v>
      </c>
      <c r="N75" s="159">
        <v>1251424</v>
      </c>
      <c r="O75" s="159">
        <v>1224843</v>
      </c>
      <c r="Q75" s="159">
        <v>1106506</v>
      </c>
      <c r="R75" s="159">
        <f t="shared" si="6"/>
        <v>1126219</v>
      </c>
      <c r="S75" s="159">
        <v>1224843</v>
      </c>
    </row>
    <row r="76" spans="1:19" ht="19.649999999999999" customHeight="1">
      <c r="B76" s="141" t="s">
        <v>161</v>
      </c>
      <c r="D76" s="169">
        <v>262789</v>
      </c>
      <c r="E76" s="156">
        <v>262386</v>
      </c>
      <c r="F76" s="156">
        <v>265043</v>
      </c>
      <c r="G76" s="156">
        <v>268527</v>
      </c>
      <c r="H76" s="170">
        <v>266275</v>
      </c>
      <c r="I76" s="156">
        <v>271986</v>
      </c>
      <c r="J76" s="156">
        <v>281630</v>
      </c>
      <c r="K76" s="156">
        <v>290875</v>
      </c>
      <c r="L76" s="157">
        <v>292829</v>
      </c>
      <c r="M76" s="156">
        <v>290737</v>
      </c>
      <c r="N76" s="156">
        <v>292839</v>
      </c>
      <c r="O76" s="156">
        <v>290516</v>
      </c>
      <c r="Q76" s="156">
        <v>268527</v>
      </c>
      <c r="R76" s="156">
        <f t="shared" si="6"/>
        <v>290875</v>
      </c>
      <c r="S76" s="156">
        <v>290516</v>
      </c>
    </row>
    <row r="77" spans="1:19" ht="19.649999999999999" customHeight="1">
      <c r="B77" s="141" t="s">
        <v>162</v>
      </c>
      <c r="D77" s="169">
        <v>446859</v>
      </c>
      <c r="E77" s="156">
        <v>445078</v>
      </c>
      <c r="F77" s="156">
        <v>453340</v>
      </c>
      <c r="G77" s="156">
        <v>468004</v>
      </c>
      <c r="H77" s="170">
        <v>465270</v>
      </c>
      <c r="I77" s="156">
        <v>470661</v>
      </c>
      <c r="J77" s="156">
        <v>482717</v>
      </c>
      <c r="K77" s="156">
        <v>466608</v>
      </c>
      <c r="L77" s="157">
        <v>482071</v>
      </c>
      <c r="M77" s="156">
        <v>493836</v>
      </c>
      <c r="N77" s="156">
        <v>513038</v>
      </c>
      <c r="O77" s="156">
        <v>544171</v>
      </c>
      <c r="Q77" s="156">
        <v>468004</v>
      </c>
      <c r="R77" s="156">
        <f t="shared" si="6"/>
        <v>466608</v>
      </c>
      <c r="S77" s="156">
        <v>544171</v>
      </c>
    </row>
    <row r="78" spans="1:19" ht="19.649999999999999" customHeight="1">
      <c r="B78" s="141" t="s">
        <v>163</v>
      </c>
      <c r="D78" s="188">
        <v>479009</v>
      </c>
      <c r="E78" s="156">
        <v>464340</v>
      </c>
      <c r="F78" s="156">
        <v>431370</v>
      </c>
      <c r="G78" s="156">
        <v>446321</v>
      </c>
      <c r="H78" s="189">
        <v>424444</v>
      </c>
      <c r="I78" s="156">
        <v>427307</v>
      </c>
      <c r="J78" s="156">
        <v>455320</v>
      </c>
      <c r="K78" s="156">
        <v>476995</v>
      </c>
      <c r="L78" s="157">
        <v>488283</v>
      </c>
      <c r="M78" s="156">
        <v>480484</v>
      </c>
      <c r="N78" s="156">
        <v>503121</v>
      </c>
      <c r="O78" s="156">
        <v>497430</v>
      </c>
      <c r="Q78" s="156">
        <v>446321</v>
      </c>
      <c r="R78" s="156">
        <f t="shared" si="6"/>
        <v>476995</v>
      </c>
      <c r="S78" s="156">
        <v>497430</v>
      </c>
    </row>
    <row r="79" spans="1:19" ht="19.649999999999999" customHeight="1">
      <c r="A79" s="158"/>
      <c r="B79" s="158"/>
      <c r="C79" s="158" t="s">
        <v>164</v>
      </c>
      <c r="D79" s="159">
        <v>1188657</v>
      </c>
      <c r="E79" s="159">
        <v>1171804</v>
      </c>
      <c r="F79" s="159">
        <v>1149753</v>
      </c>
      <c r="G79" s="159">
        <v>1182852</v>
      </c>
      <c r="H79" s="160">
        <v>1155989</v>
      </c>
      <c r="I79" s="159">
        <v>1169954</v>
      </c>
      <c r="J79" s="159">
        <v>1219667</v>
      </c>
      <c r="K79" s="159">
        <v>1234478</v>
      </c>
      <c r="L79" s="160">
        <v>1263183</v>
      </c>
      <c r="M79" s="159">
        <v>1265057</v>
      </c>
      <c r="N79" s="159">
        <v>1308998</v>
      </c>
      <c r="O79" s="159">
        <v>1332117</v>
      </c>
      <c r="Q79" s="159">
        <v>1182852</v>
      </c>
      <c r="R79" s="159">
        <f t="shared" si="6"/>
        <v>1234478</v>
      </c>
      <c r="S79" s="159">
        <v>1332117</v>
      </c>
    </row>
    <row r="80" spans="1:19" ht="19.649999999999999" customHeight="1" thickBot="1">
      <c r="A80" s="182"/>
      <c r="B80" s="182"/>
      <c r="C80" s="182" t="s">
        <v>64</v>
      </c>
      <c r="D80" s="183">
        <v>2254853</v>
      </c>
      <c r="E80" s="183">
        <v>2179843</v>
      </c>
      <c r="F80" s="183">
        <v>2186396</v>
      </c>
      <c r="G80" s="183">
        <v>2289358</v>
      </c>
      <c r="H80" s="184">
        <v>2243118</v>
      </c>
      <c r="I80" s="183">
        <v>2218515</v>
      </c>
      <c r="J80" s="183">
        <v>2343072</v>
      </c>
      <c r="K80" s="183">
        <v>2360697</v>
      </c>
      <c r="L80" s="184">
        <v>2421087</v>
      </c>
      <c r="M80" s="183">
        <v>2423617</v>
      </c>
      <c r="N80" s="183">
        <v>2560422</v>
      </c>
      <c r="O80" s="183">
        <v>2556960</v>
      </c>
      <c r="Q80" s="183">
        <v>2289358</v>
      </c>
      <c r="R80" s="183">
        <f t="shared" si="6"/>
        <v>2360697</v>
      </c>
      <c r="S80" s="183">
        <v>2556960</v>
      </c>
    </row>
    <row r="81" spans="1:19" ht="19.649999999999999" customHeight="1">
      <c r="D81" s="169"/>
      <c r="E81" s="156"/>
      <c r="F81" s="156"/>
      <c r="G81" s="156"/>
      <c r="H81" s="169"/>
      <c r="I81" s="156"/>
      <c r="J81" s="156"/>
      <c r="K81" s="156"/>
      <c r="L81" s="156"/>
      <c r="M81" s="156"/>
      <c r="N81" s="156"/>
      <c r="O81" s="156"/>
      <c r="Q81" s="156"/>
      <c r="R81" s="156"/>
      <c r="S81" s="156"/>
    </row>
    <row r="82" spans="1:19" ht="27.15" customHeight="1">
      <c r="A82" s="141" t="s">
        <v>65</v>
      </c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Q82" s="169"/>
      <c r="R82" s="169"/>
      <c r="S82" s="169"/>
    </row>
    <row r="83" spans="1:19" ht="19.649999999999999" customHeight="1">
      <c r="B83" s="141" t="s">
        <v>165</v>
      </c>
      <c r="D83" s="169">
        <v>187205</v>
      </c>
      <c r="E83" s="156">
        <v>162019</v>
      </c>
      <c r="F83" s="156">
        <v>215706</v>
      </c>
      <c r="G83" s="156">
        <v>216432</v>
      </c>
      <c r="H83" s="170">
        <v>232276</v>
      </c>
      <c r="I83" s="156">
        <v>224230</v>
      </c>
      <c r="J83" s="156">
        <v>224116</v>
      </c>
      <c r="K83" s="156">
        <v>226399</v>
      </c>
      <c r="L83" s="157">
        <v>271958</v>
      </c>
      <c r="M83" s="156">
        <v>244488</v>
      </c>
      <c r="N83" s="156">
        <v>289035</v>
      </c>
      <c r="O83" s="156">
        <v>272719</v>
      </c>
      <c r="Q83" s="156">
        <v>216432</v>
      </c>
      <c r="R83" s="156">
        <f t="shared" ref="R83:R99" si="7">K83</f>
        <v>226399</v>
      </c>
      <c r="S83" s="156">
        <v>272719</v>
      </c>
    </row>
    <row r="84" spans="1:19" ht="19.649999999999999" customHeight="1">
      <c r="B84" s="141" t="s">
        <v>166</v>
      </c>
      <c r="D84" s="169">
        <v>238509</v>
      </c>
      <c r="E84" s="156">
        <v>245376</v>
      </c>
      <c r="F84" s="156">
        <v>233947</v>
      </c>
      <c r="G84" s="156">
        <v>252209</v>
      </c>
      <c r="H84" s="170">
        <v>235769</v>
      </c>
      <c r="I84" s="156">
        <v>227929</v>
      </c>
      <c r="J84" s="156">
        <v>235568</v>
      </c>
      <c r="K84" s="156">
        <v>256538</v>
      </c>
      <c r="L84" s="157">
        <v>247247</v>
      </c>
      <c r="M84" s="156">
        <v>245533</v>
      </c>
      <c r="N84" s="156">
        <v>263602</v>
      </c>
      <c r="O84" s="156">
        <v>317062</v>
      </c>
      <c r="Q84" s="156">
        <v>252209</v>
      </c>
      <c r="R84" s="156">
        <f t="shared" si="7"/>
        <v>256538</v>
      </c>
      <c r="S84" s="156">
        <v>317062</v>
      </c>
    </row>
    <row r="85" spans="1:19" ht="19.649999999999999" customHeight="1">
      <c r="B85" s="141" t="s">
        <v>167</v>
      </c>
      <c r="D85" s="169">
        <v>208924</v>
      </c>
      <c r="E85" s="156">
        <v>207799</v>
      </c>
      <c r="F85" s="156">
        <v>171216</v>
      </c>
      <c r="G85" s="156">
        <v>204383</v>
      </c>
      <c r="H85" s="170">
        <v>194828</v>
      </c>
      <c r="I85" s="156">
        <v>188815</v>
      </c>
      <c r="J85" s="156">
        <v>196729</v>
      </c>
      <c r="K85" s="156">
        <v>217430</v>
      </c>
      <c r="L85" s="157">
        <v>238366</v>
      </c>
      <c r="M85" s="156">
        <v>223798</v>
      </c>
      <c r="N85" s="156">
        <v>250021</v>
      </c>
      <c r="O85" s="156">
        <v>241572</v>
      </c>
      <c r="Q85" s="156">
        <v>204383</v>
      </c>
      <c r="R85" s="156">
        <f t="shared" si="7"/>
        <v>217430</v>
      </c>
      <c r="S85" s="156">
        <v>241572</v>
      </c>
    </row>
    <row r="86" spans="1:19" ht="19.649999999999999" customHeight="1">
      <c r="A86" s="158"/>
      <c r="B86" s="158"/>
      <c r="C86" s="158" t="s">
        <v>71</v>
      </c>
      <c r="D86" s="159">
        <v>634638</v>
      </c>
      <c r="E86" s="159">
        <v>615194</v>
      </c>
      <c r="F86" s="159">
        <v>620869</v>
      </c>
      <c r="G86" s="159">
        <v>673024</v>
      </c>
      <c r="H86" s="160">
        <v>662873</v>
      </c>
      <c r="I86" s="159">
        <v>640974</v>
      </c>
      <c r="J86" s="159">
        <v>656413</v>
      </c>
      <c r="K86" s="159">
        <v>700367</v>
      </c>
      <c r="L86" s="160">
        <v>757571</v>
      </c>
      <c r="M86" s="159">
        <v>713819</v>
      </c>
      <c r="N86" s="159">
        <v>802658</v>
      </c>
      <c r="O86" s="159">
        <v>831353</v>
      </c>
      <c r="Q86" s="159">
        <v>673024</v>
      </c>
      <c r="R86" s="159">
        <f t="shared" si="7"/>
        <v>700367</v>
      </c>
      <c r="S86" s="159">
        <v>831353</v>
      </c>
    </row>
    <row r="87" spans="1:19" ht="19.649999999999999" customHeight="1">
      <c r="B87" s="141" t="s">
        <v>168</v>
      </c>
      <c r="D87" s="169">
        <v>466319</v>
      </c>
      <c r="E87" s="156">
        <v>480401</v>
      </c>
      <c r="F87" s="156">
        <v>536699</v>
      </c>
      <c r="G87" s="156">
        <v>525435</v>
      </c>
      <c r="H87" s="170">
        <v>526566</v>
      </c>
      <c r="I87" s="156">
        <v>518263</v>
      </c>
      <c r="J87" s="156">
        <v>565020</v>
      </c>
      <c r="K87" s="156">
        <v>476381</v>
      </c>
      <c r="L87" s="157">
        <v>452729</v>
      </c>
      <c r="M87" s="156">
        <v>490606</v>
      </c>
      <c r="N87" s="156">
        <v>489159</v>
      </c>
      <c r="O87" s="156">
        <v>451759</v>
      </c>
      <c r="Q87" s="156">
        <v>525435</v>
      </c>
      <c r="R87" s="156">
        <f t="shared" si="7"/>
        <v>476381</v>
      </c>
      <c r="S87" s="156">
        <v>451759</v>
      </c>
    </row>
    <row r="88" spans="1:19" ht="19.649999999999999" customHeight="1">
      <c r="B88" s="141" t="s">
        <v>169</v>
      </c>
      <c r="D88" s="169">
        <v>141715</v>
      </c>
      <c r="E88" s="156">
        <v>134230</v>
      </c>
      <c r="F88" s="156">
        <v>138242</v>
      </c>
      <c r="G88" s="156">
        <v>164757</v>
      </c>
      <c r="H88" s="170">
        <v>163007</v>
      </c>
      <c r="I88" s="156">
        <v>156550</v>
      </c>
      <c r="J88" s="156">
        <v>163354</v>
      </c>
      <c r="K88" s="156">
        <v>164289</v>
      </c>
      <c r="L88" s="157">
        <v>165644</v>
      </c>
      <c r="M88" s="156">
        <v>143079</v>
      </c>
      <c r="N88" s="156">
        <v>140884</v>
      </c>
      <c r="O88" s="156">
        <v>132588</v>
      </c>
      <c r="Q88" s="156">
        <v>164757</v>
      </c>
      <c r="R88" s="156">
        <f t="shared" si="7"/>
        <v>164289</v>
      </c>
      <c r="S88" s="156">
        <v>132588</v>
      </c>
    </row>
    <row r="89" spans="1:19" ht="19.649999999999999" customHeight="1">
      <c r="A89" s="146"/>
      <c r="B89" s="146" t="s">
        <v>170</v>
      </c>
      <c r="C89" s="146"/>
      <c r="D89" s="188">
        <v>47187</v>
      </c>
      <c r="E89" s="156">
        <v>38979</v>
      </c>
      <c r="F89" s="156">
        <v>36341</v>
      </c>
      <c r="G89" s="156">
        <v>47124</v>
      </c>
      <c r="H89" s="189">
        <v>41400</v>
      </c>
      <c r="I89" s="156">
        <v>43302</v>
      </c>
      <c r="J89" s="156">
        <v>53685</v>
      </c>
      <c r="K89" s="156">
        <v>61002</v>
      </c>
      <c r="L89" s="157">
        <v>64834</v>
      </c>
      <c r="M89" s="156">
        <v>65719</v>
      </c>
      <c r="N89" s="156">
        <v>60053</v>
      </c>
      <c r="O89" s="156">
        <v>57923</v>
      </c>
      <c r="Q89" s="156">
        <v>47124</v>
      </c>
      <c r="R89" s="156">
        <f t="shared" si="7"/>
        <v>61002</v>
      </c>
      <c r="S89" s="156">
        <v>57923</v>
      </c>
    </row>
    <row r="90" spans="1:19" ht="19.649999999999999" customHeight="1">
      <c r="A90" s="158"/>
      <c r="B90" s="158"/>
      <c r="C90" s="158" t="s">
        <v>171</v>
      </c>
      <c r="D90" s="159">
        <v>655221</v>
      </c>
      <c r="E90" s="159">
        <v>653610</v>
      </c>
      <c r="F90" s="159">
        <v>711282</v>
      </c>
      <c r="G90" s="159">
        <v>737316</v>
      </c>
      <c r="H90" s="160">
        <v>730973</v>
      </c>
      <c r="I90" s="159">
        <v>718115</v>
      </c>
      <c r="J90" s="159">
        <v>782059</v>
      </c>
      <c r="K90" s="159">
        <v>701672</v>
      </c>
      <c r="L90" s="160">
        <v>683207</v>
      </c>
      <c r="M90" s="159">
        <v>699404</v>
      </c>
      <c r="N90" s="159">
        <v>690096</v>
      </c>
      <c r="O90" s="159">
        <v>642270</v>
      </c>
      <c r="Q90" s="159">
        <v>737316</v>
      </c>
      <c r="R90" s="159">
        <f t="shared" si="7"/>
        <v>701672</v>
      </c>
      <c r="S90" s="159">
        <v>642270</v>
      </c>
    </row>
    <row r="91" spans="1:19" ht="19.649999999999999" customHeight="1">
      <c r="B91" s="141" t="s">
        <v>75</v>
      </c>
      <c r="D91" s="169">
        <v>135364</v>
      </c>
      <c r="E91" s="156">
        <v>135364</v>
      </c>
      <c r="F91" s="156">
        <v>135364</v>
      </c>
      <c r="G91" s="156">
        <v>135364</v>
      </c>
      <c r="H91" s="170">
        <v>135364</v>
      </c>
      <c r="I91" s="156">
        <v>135364</v>
      </c>
      <c r="J91" s="156">
        <v>135364</v>
      </c>
      <c r="K91" s="156">
        <v>135364</v>
      </c>
      <c r="L91" s="157">
        <v>135364</v>
      </c>
      <c r="M91" s="156">
        <v>135364</v>
      </c>
      <c r="N91" s="156">
        <v>135364</v>
      </c>
      <c r="O91" s="156">
        <v>135364</v>
      </c>
      <c r="Q91" s="156">
        <v>135364</v>
      </c>
      <c r="R91" s="156">
        <f t="shared" si="7"/>
        <v>135364</v>
      </c>
      <c r="S91" s="156">
        <v>135364</v>
      </c>
    </row>
    <row r="92" spans="1:19" ht="19.649999999999999" customHeight="1">
      <c r="B92" s="141" t="s">
        <v>76</v>
      </c>
      <c r="D92" s="169">
        <v>186083</v>
      </c>
      <c r="E92" s="156">
        <v>186083</v>
      </c>
      <c r="F92" s="156">
        <v>186083</v>
      </c>
      <c r="G92" s="156">
        <v>186083</v>
      </c>
      <c r="H92" s="170">
        <v>186083</v>
      </c>
      <c r="I92" s="156">
        <v>186083</v>
      </c>
      <c r="J92" s="156">
        <v>186083</v>
      </c>
      <c r="K92" s="156">
        <v>186083</v>
      </c>
      <c r="L92" s="157">
        <v>186083</v>
      </c>
      <c r="M92" s="156">
        <v>186083</v>
      </c>
      <c r="N92" s="156">
        <v>186083</v>
      </c>
      <c r="O92" s="156">
        <v>186083</v>
      </c>
      <c r="Q92" s="156">
        <v>186083</v>
      </c>
      <c r="R92" s="156">
        <f t="shared" si="7"/>
        <v>186083</v>
      </c>
      <c r="S92" s="156">
        <v>186083</v>
      </c>
    </row>
    <row r="93" spans="1:19" ht="19.649999999999999" customHeight="1">
      <c r="B93" s="141" t="s">
        <v>79</v>
      </c>
      <c r="D93" s="169">
        <v>804039</v>
      </c>
      <c r="E93" s="156">
        <v>790308</v>
      </c>
      <c r="F93" s="156">
        <v>733936</v>
      </c>
      <c r="G93" s="156">
        <v>742549</v>
      </c>
      <c r="H93" s="170">
        <v>742921</v>
      </c>
      <c r="I93" s="156">
        <v>748092</v>
      </c>
      <c r="J93" s="156">
        <v>744618</v>
      </c>
      <c r="K93" s="156">
        <v>759783</v>
      </c>
      <c r="L93" s="157">
        <v>757979</v>
      </c>
      <c r="M93" s="156">
        <v>772531</v>
      </c>
      <c r="N93" s="156">
        <v>779418</v>
      </c>
      <c r="O93" s="156">
        <v>808680</v>
      </c>
      <c r="Q93" s="156">
        <v>742549</v>
      </c>
      <c r="R93" s="156">
        <f t="shared" si="7"/>
        <v>759783</v>
      </c>
      <c r="S93" s="156">
        <v>808680</v>
      </c>
    </row>
    <row r="94" spans="1:19" ht="19.649999999999999" customHeight="1">
      <c r="B94" s="141" t="s">
        <v>172</v>
      </c>
      <c r="D94" s="169">
        <v>-177157</v>
      </c>
      <c r="E94" s="169">
        <v>-218276</v>
      </c>
      <c r="F94" s="169">
        <v>-219612</v>
      </c>
      <c r="G94" s="169">
        <v>-204175</v>
      </c>
      <c r="H94" s="170">
        <v>-234811</v>
      </c>
      <c r="I94" s="169">
        <v>-231070</v>
      </c>
      <c r="J94" s="169">
        <v>-183302</v>
      </c>
      <c r="K94" s="169">
        <v>-146088</v>
      </c>
      <c r="L94" s="170">
        <v>-123501</v>
      </c>
      <c r="M94" s="169">
        <v>-109361</v>
      </c>
      <c r="N94" s="169">
        <v>-60131</v>
      </c>
      <c r="O94" s="169">
        <v>-74942</v>
      </c>
      <c r="Q94" s="169">
        <v>-204175</v>
      </c>
      <c r="R94" s="169">
        <f t="shared" si="7"/>
        <v>-146088</v>
      </c>
      <c r="S94" s="169">
        <v>-74942</v>
      </c>
    </row>
    <row r="95" spans="1:19" ht="19.649999999999999" customHeight="1">
      <c r="A95" s="146"/>
      <c r="B95" s="146" t="s">
        <v>173</v>
      </c>
      <c r="C95" s="146"/>
      <c r="D95" s="188">
        <v>-36834</v>
      </c>
      <c r="E95" s="188">
        <v>-36830</v>
      </c>
      <c r="F95" s="188">
        <v>-36821</v>
      </c>
      <c r="G95" s="188">
        <v>-37117</v>
      </c>
      <c r="H95" s="189">
        <v>-37119</v>
      </c>
      <c r="I95" s="188">
        <v>-37120</v>
      </c>
      <c r="J95" s="188">
        <v>-37131</v>
      </c>
      <c r="K95" s="188">
        <v>-37146</v>
      </c>
      <c r="L95" s="189">
        <v>-37168</v>
      </c>
      <c r="M95" s="188">
        <v>-37199</v>
      </c>
      <c r="N95" s="188">
        <v>-37266</v>
      </c>
      <c r="O95" s="188">
        <v>-37278</v>
      </c>
      <c r="Q95" s="188">
        <v>-37117</v>
      </c>
      <c r="R95" s="188">
        <f t="shared" si="7"/>
        <v>-37146</v>
      </c>
      <c r="S95" s="188">
        <v>-37278</v>
      </c>
    </row>
    <row r="96" spans="1:19" ht="19.649999999999999" customHeight="1">
      <c r="A96" s="146"/>
      <c r="B96" s="146"/>
      <c r="C96" s="146" t="s">
        <v>174</v>
      </c>
      <c r="D96" s="180">
        <v>911495</v>
      </c>
      <c r="E96" s="180">
        <v>856649</v>
      </c>
      <c r="F96" s="180">
        <v>798950</v>
      </c>
      <c r="G96" s="180">
        <v>822704</v>
      </c>
      <c r="H96" s="181">
        <v>792438</v>
      </c>
      <c r="I96" s="180">
        <v>801349</v>
      </c>
      <c r="J96" s="180">
        <v>845632</v>
      </c>
      <c r="K96" s="180">
        <v>897996</v>
      </c>
      <c r="L96" s="181">
        <v>918757</v>
      </c>
      <c r="M96" s="180">
        <v>947418</v>
      </c>
      <c r="N96" s="180">
        <v>1003468</v>
      </c>
      <c r="O96" s="180">
        <v>1017907</v>
      </c>
      <c r="Q96" s="180">
        <v>822704</v>
      </c>
      <c r="R96" s="180">
        <f t="shared" si="7"/>
        <v>897996</v>
      </c>
      <c r="S96" s="180">
        <v>1017907</v>
      </c>
    </row>
    <row r="97" spans="1:19" ht="19.649999999999999" customHeight="1">
      <c r="A97" s="158"/>
      <c r="B97" s="158" t="s">
        <v>81</v>
      </c>
      <c r="C97" s="158"/>
      <c r="D97" s="190">
        <v>53499</v>
      </c>
      <c r="E97" s="190">
        <v>54390</v>
      </c>
      <c r="F97" s="190">
        <v>55295</v>
      </c>
      <c r="G97" s="190">
        <v>56314</v>
      </c>
      <c r="H97" s="191">
        <v>56834</v>
      </c>
      <c r="I97" s="190">
        <v>58077</v>
      </c>
      <c r="J97" s="190">
        <v>58968</v>
      </c>
      <c r="K97" s="190">
        <v>60662</v>
      </c>
      <c r="L97" s="191">
        <v>61552</v>
      </c>
      <c r="M97" s="190">
        <v>62976</v>
      </c>
      <c r="N97" s="190">
        <v>64200</v>
      </c>
      <c r="O97" s="190">
        <v>65430</v>
      </c>
      <c r="Q97" s="190">
        <v>56314</v>
      </c>
      <c r="R97" s="190">
        <f t="shared" si="7"/>
        <v>60662</v>
      </c>
      <c r="S97" s="190">
        <v>65430</v>
      </c>
    </row>
    <row r="98" spans="1:19" ht="19.649999999999999" customHeight="1">
      <c r="C98" s="141" t="s">
        <v>175</v>
      </c>
      <c r="D98" s="153">
        <v>964994</v>
      </c>
      <c r="E98" s="153">
        <v>911039</v>
      </c>
      <c r="F98" s="153">
        <v>854245</v>
      </c>
      <c r="G98" s="153">
        <v>879018</v>
      </c>
      <c r="H98" s="155">
        <v>849272</v>
      </c>
      <c r="I98" s="179">
        <v>859426</v>
      </c>
      <c r="J98" s="179">
        <v>904600</v>
      </c>
      <c r="K98" s="179">
        <v>958658</v>
      </c>
      <c r="L98" s="155">
        <v>980309</v>
      </c>
      <c r="M98" s="179">
        <v>1010394</v>
      </c>
      <c r="N98" s="179">
        <v>1067668</v>
      </c>
      <c r="O98" s="179">
        <v>1083337</v>
      </c>
      <c r="Q98" s="153">
        <v>879018</v>
      </c>
      <c r="R98" s="153">
        <f t="shared" si="7"/>
        <v>958658</v>
      </c>
      <c r="S98" s="153">
        <v>1083337</v>
      </c>
    </row>
    <row r="99" spans="1:19" ht="19.649999999999999" customHeight="1" thickBot="1">
      <c r="A99" s="182"/>
      <c r="B99" s="182"/>
      <c r="C99" s="182" t="s">
        <v>176</v>
      </c>
      <c r="D99" s="183">
        <v>2254853</v>
      </c>
      <c r="E99" s="183">
        <v>2179843</v>
      </c>
      <c r="F99" s="183">
        <v>2186396</v>
      </c>
      <c r="G99" s="183">
        <v>2289358</v>
      </c>
      <c r="H99" s="184">
        <v>2243118</v>
      </c>
      <c r="I99" s="183">
        <v>2218515</v>
      </c>
      <c r="J99" s="183">
        <v>2343072</v>
      </c>
      <c r="K99" s="183">
        <v>2360697</v>
      </c>
      <c r="L99" s="184">
        <v>2421087</v>
      </c>
      <c r="M99" s="183">
        <v>2423617</v>
      </c>
      <c r="N99" s="183">
        <v>2560422</v>
      </c>
      <c r="O99" s="183">
        <v>2556960</v>
      </c>
      <c r="Q99" s="183">
        <v>2289358</v>
      </c>
      <c r="R99" s="183">
        <f t="shared" si="7"/>
        <v>2360697</v>
      </c>
      <c r="S99" s="183">
        <v>2556960</v>
      </c>
    </row>
    <row r="102" spans="1:19" s="142" customFormat="1">
      <c r="A102" s="139" t="s">
        <v>84</v>
      </c>
      <c r="B102" s="139"/>
      <c r="C102" s="139"/>
    </row>
    <row r="104" spans="1:19">
      <c r="A104" s="143"/>
      <c r="B104" s="143"/>
      <c r="C104" s="143"/>
      <c r="D104" s="143"/>
      <c r="E104" s="143"/>
      <c r="F104" s="143"/>
      <c r="G104" s="143"/>
      <c r="H104" s="144"/>
      <c r="I104" s="143"/>
      <c r="J104" s="143"/>
      <c r="K104" s="143"/>
      <c r="L104" s="144"/>
      <c r="M104" s="143"/>
      <c r="N104" s="143"/>
      <c r="O104" s="143"/>
      <c r="Q104" s="143"/>
      <c r="R104" s="143"/>
      <c r="S104" s="143"/>
    </row>
    <row r="105" spans="1:19">
      <c r="D105" s="145" t="s">
        <v>146</v>
      </c>
      <c r="E105" s="146"/>
      <c r="F105" s="146"/>
      <c r="G105" s="146"/>
      <c r="H105" s="147" t="str">
        <f>H4</f>
        <v>FY2012</v>
      </c>
      <c r="I105" s="146"/>
      <c r="J105" s="146"/>
      <c r="K105" s="146"/>
      <c r="L105" s="192"/>
      <c r="M105" s="146"/>
      <c r="N105" s="146"/>
      <c r="O105" s="146"/>
      <c r="Q105" s="148" t="s">
        <v>148</v>
      </c>
      <c r="R105" s="148" t="s">
        <v>149</v>
      </c>
      <c r="S105" s="148" t="s">
        <v>150</v>
      </c>
    </row>
    <row r="106" spans="1:19" ht="19.649999999999999" customHeight="1">
      <c r="A106" s="146"/>
      <c r="B106" s="146"/>
      <c r="C106" s="146"/>
      <c r="D106" s="150" t="s">
        <v>122</v>
      </c>
      <c r="E106" s="150" t="s">
        <v>138</v>
      </c>
      <c r="F106" s="150" t="s">
        <v>139</v>
      </c>
      <c r="G106" s="150" t="s">
        <v>12</v>
      </c>
      <c r="H106" s="151" t="s">
        <v>9</v>
      </c>
      <c r="I106" s="150" t="s">
        <v>10</v>
      </c>
      <c r="J106" s="150" t="s">
        <v>11</v>
      </c>
      <c r="K106" s="150" t="s">
        <v>12</v>
      </c>
      <c r="L106" s="151" t="s">
        <v>9</v>
      </c>
      <c r="M106" s="150" t="s">
        <v>10</v>
      </c>
      <c r="N106" s="150" t="s">
        <v>11</v>
      </c>
      <c r="O106" s="150" t="s">
        <v>12</v>
      </c>
      <c r="Q106" s="152"/>
      <c r="R106" s="152"/>
      <c r="S106" s="152"/>
    </row>
    <row r="107" spans="1:19" ht="19.649999999999999" customHeight="1">
      <c r="A107" s="158" t="s">
        <v>128</v>
      </c>
      <c r="B107" s="158"/>
      <c r="C107" s="158"/>
      <c r="D107" s="193">
        <v>4874</v>
      </c>
      <c r="E107" s="194">
        <f>15570-D107</f>
        <v>10696</v>
      </c>
      <c r="F107" s="194">
        <f>-25637-E107-D107</f>
        <v>-41207</v>
      </c>
      <c r="G107" s="194">
        <f>11206-F107-E107-D107</f>
        <v>36843</v>
      </c>
      <c r="H107" s="193">
        <v>8861</v>
      </c>
      <c r="I107" s="194">
        <f>28464-H107</f>
        <v>19603</v>
      </c>
      <c r="J107" s="194">
        <f>28340-H107-I107</f>
        <v>-124</v>
      </c>
      <c r="K107" s="194">
        <f>124526-J107-I107-H107</f>
        <v>96186</v>
      </c>
      <c r="L107" s="193">
        <v>18183</v>
      </c>
      <c r="M107" s="194">
        <v>10385</v>
      </c>
      <c r="N107" s="194">
        <f>34429-L107-M107</f>
        <v>5861</v>
      </c>
      <c r="O107" s="194">
        <f>131593-N107-M107-L107</f>
        <v>97164</v>
      </c>
      <c r="Q107" s="194">
        <v>11206</v>
      </c>
      <c r="R107" s="194">
        <f>SUM(H107:K107)</f>
        <v>124526</v>
      </c>
      <c r="S107" s="194">
        <v>131593</v>
      </c>
    </row>
    <row r="108" spans="1:19" ht="19.649999999999999" customHeight="1">
      <c r="A108" s="158" t="s">
        <v>129</v>
      </c>
      <c r="B108" s="158"/>
      <c r="C108" s="158"/>
      <c r="D108" s="193">
        <v>-24951</v>
      </c>
      <c r="E108" s="194">
        <f>-52961-D108</f>
        <v>-28010</v>
      </c>
      <c r="F108" s="194">
        <f>-88899-E108-D108</f>
        <v>-35938</v>
      </c>
      <c r="G108" s="194">
        <f>-112443-F108-E108-D108</f>
        <v>-23544</v>
      </c>
      <c r="H108" s="193">
        <v>-24161</v>
      </c>
      <c r="I108" s="194">
        <f>-52612-H108</f>
        <v>-28451</v>
      </c>
      <c r="J108" s="194">
        <f>-76286-H108-I108</f>
        <v>-23674</v>
      </c>
      <c r="K108" s="194">
        <f>-106467-J108-I108-H108</f>
        <v>-30181</v>
      </c>
      <c r="L108" s="193">
        <v>-23608</v>
      </c>
      <c r="M108" s="194">
        <v>-16418</v>
      </c>
      <c r="N108" s="194">
        <f>-60881-L108-M108</f>
        <v>-20855</v>
      </c>
      <c r="O108" s="194">
        <f>-106844-N108-M108-L108</f>
        <v>-45963</v>
      </c>
      <c r="Q108" s="194">
        <v>-112443</v>
      </c>
      <c r="R108" s="194">
        <f>SUM(H108:K108)</f>
        <v>-106467</v>
      </c>
      <c r="S108" s="194">
        <v>-106844</v>
      </c>
    </row>
    <row r="109" spans="1:19" ht="19.649999999999999" customHeight="1">
      <c r="A109" s="158" t="s">
        <v>130</v>
      </c>
      <c r="B109" s="158"/>
      <c r="C109" s="158"/>
      <c r="D109" s="193">
        <v>12935</v>
      </c>
      <c r="E109" s="194">
        <f>5885-D109</f>
        <v>-7050</v>
      </c>
      <c r="F109" s="194">
        <f>102615-E109-D109</f>
        <v>96730</v>
      </c>
      <c r="G109" s="194">
        <f>87823-F109-E109-D109</f>
        <v>-14792</v>
      </c>
      <c r="H109" s="193">
        <v>12423</v>
      </c>
      <c r="I109" s="194">
        <f>-3379-H109</f>
        <v>-15802</v>
      </c>
      <c r="J109" s="194">
        <f>25404-I109-H109</f>
        <v>28783</v>
      </c>
      <c r="K109" s="194">
        <f>-64321-J109-I109-H109</f>
        <v>-89725</v>
      </c>
      <c r="L109" s="193">
        <v>9573</v>
      </c>
      <c r="M109" s="194">
        <v>7830</v>
      </c>
      <c r="N109" s="194">
        <f>43302-L109-M109</f>
        <v>25899</v>
      </c>
      <c r="O109" s="194">
        <f>-10029-N109-M109-L109</f>
        <v>-53331</v>
      </c>
      <c r="Q109" s="194">
        <v>87823</v>
      </c>
      <c r="R109" s="194">
        <f>SUM(H109:K109)</f>
        <v>-64321</v>
      </c>
      <c r="S109" s="194">
        <v>-10029</v>
      </c>
    </row>
    <row r="110" spans="1:19" ht="19.649999999999999" customHeight="1" thickBot="1">
      <c r="A110" s="182" t="s">
        <v>88</v>
      </c>
      <c r="B110" s="182"/>
      <c r="C110" s="182"/>
      <c r="D110" s="184">
        <v>162719</v>
      </c>
      <c r="E110" s="183">
        <v>133610</v>
      </c>
      <c r="F110" s="183">
        <v>151887</v>
      </c>
      <c r="G110" s="183">
        <v>156210</v>
      </c>
      <c r="H110" s="184">
        <v>148501</v>
      </c>
      <c r="I110" s="183">
        <v>122965</v>
      </c>
      <c r="J110" s="183">
        <v>134408</v>
      </c>
      <c r="K110" s="183">
        <v>117051</v>
      </c>
      <c r="L110" s="184">
        <v>123550</v>
      </c>
      <c r="M110" s="183">
        <v>125258</v>
      </c>
      <c r="N110" s="183">
        <v>144126</v>
      </c>
      <c r="O110" s="183">
        <v>140047</v>
      </c>
      <c r="Q110" s="183">
        <v>156210</v>
      </c>
      <c r="R110" s="183">
        <f>K110</f>
        <v>117051</v>
      </c>
      <c r="S110" s="183">
        <v>140047</v>
      </c>
    </row>
    <row r="111" spans="1:19" ht="18.75" customHeight="1" thickBot="1">
      <c r="A111" s="163" t="s">
        <v>18</v>
      </c>
      <c r="B111" s="163"/>
      <c r="C111" s="163"/>
      <c r="D111" s="165">
        <f t="shared" ref="D111:G111" si="8">SUM(D107:D108)</f>
        <v>-20077</v>
      </c>
      <c r="E111" s="166">
        <f t="shared" si="8"/>
        <v>-17314</v>
      </c>
      <c r="F111" s="166">
        <f t="shared" si="8"/>
        <v>-77145</v>
      </c>
      <c r="G111" s="166">
        <f t="shared" si="8"/>
        <v>13299</v>
      </c>
      <c r="H111" s="165">
        <f t="shared" ref="H111:K111" si="9">SUM(H107:H108)</f>
        <v>-15300</v>
      </c>
      <c r="I111" s="166">
        <f t="shared" si="9"/>
        <v>-8848</v>
      </c>
      <c r="J111" s="166">
        <f t="shared" si="9"/>
        <v>-23798</v>
      </c>
      <c r="K111" s="166">
        <f t="shared" si="9"/>
        <v>66005</v>
      </c>
      <c r="L111" s="165">
        <v>-5425</v>
      </c>
      <c r="M111" s="166">
        <f>SUM(M107:M108)</f>
        <v>-6033</v>
      </c>
      <c r="N111" s="166">
        <f>SUM(N107:N108)</f>
        <v>-14994</v>
      </c>
      <c r="O111" s="166">
        <f t="shared" ref="O111" si="10">SUM(O107:O108)</f>
        <v>51201</v>
      </c>
      <c r="Q111" s="166">
        <v>-101237</v>
      </c>
      <c r="R111" s="166">
        <f>SUM(R107:R108)</f>
        <v>18059</v>
      </c>
      <c r="S111" s="166">
        <v>24749</v>
      </c>
    </row>
    <row r="115" spans="1:19">
      <c r="A115" s="139" t="s">
        <v>89</v>
      </c>
      <c r="B115" s="140"/>
      <c r="C115" s="140"/>
    </row>
    <row r="116" spans="1:19">
      <c r="A116" s="142"/>
    </row>
    <row r="117" spans="1:19">
      <c r="A117" s="143"/>
      <c r="B117" s="143"/>
      <c r="C117" s="143"/>
      <c r="D117" s="143"/>
      <c r="E117" s="143"/>
      <c r="F117" s="143"/>
      <c r="G117" s="143"/>
      <c r="H117" s="144"/>
      <c r="I117" s="143"/>
      <c r="J117" s="143"/>
      <c r="K117" s="143"/>
      <c r="L117" s="144"/>
      <c r="M117" s="143"/>
      <c r="N117" s="143"/>
      <c r="O117" s="143"/>
      <c r="Q117" s="143"/>
      <c r="R117" s="143"/>
      <c r="S117" s="143"/>
    </row>
    <row r="118" spans="1:19">
      <c r="D118" s="145" t="s">
        <v>146</v>
      </c>
      <c r="E118" s="146"/>
      <c r="F118" s="146"/>
      <c r="G118" s="146"/>
      <c r="H118" s="147" t="str">
        <f>H4</f>
        <v>FY2012</v>
      </c>
      <c r="I118" s="146"/>
      <c r="J118" s="146"/>
      <c r="K118" s="146"/>
      <c r="L118" s="147" t="s">
        <v>147</v>
      </c>
      <c r="M118" s="146"/>
      <c r="N118" s="146"/>
      <c r="O118" s="146"/>
      <c r="Q118" s="148" t="s">
        <v>148</v>
      </c>
      <c r="R118" s="148" t="s">
        <v>149</v>
      </c>
      <c r="S118" s="148" t="s">
        <v>150</v>
      </c>
    </row>
    <row r="119" spans="1:19" ht="19.649999999999999" customHeight="1">
      <c r="A119" s="146"/>
      <c r="B119" s="146"/>
      <c r="C119" s="146"/>
      <c r="D119" s="150" t="s">
        <v>177</v>
      </c>
      <c r="E119" s="150" t="s">
        <v>178</v>
      </c>
      <c r="F119" s="150" t="s">
        <v>179</v>
      </c>
      <c r="G119" s="150" t="s">
        <v>180</v>
      </c>
      <c r="H119" s="151" t="s">
        <v>9</v>
      </c>
      <c r="I119" s="150" t="s">
        <v>10</v>
      </c>
      <c r="J119" s="150" t="s">
        <v>11</v>
      </c>
      <c r="K119" s="150" t="s">
        <v>12</v>
      </c>
      <c r="L119" s="151" t="s">
        <v>9</v>
      </c>
      <c r="M119" s="150" t="s">
        <v>10</v>
      </c>
      <c r="N119" s="150" t="s">
        <v>11</v>
      </c>
      <c r="O119" s="150" t="s">
        <v>12</v>
      </c>
      <c r="Q119" s="152" t="s">
        <v>181</v>
      </c>
      <c r="R119" s="152" t="s">
        <v>182</v>
      </c>
      <c r="S119" s="152" t="s">
        <v>140</v>
      </c>
    </row>
    <row r="120" spans="1:19" s="19" customFormat="1" ht="21.9" customHeight="1">
      <c r="A120" s="63" t="s">
        <v>90</v>
      </c>
      <c r="B120" s="63"/>
      <c r="C120" s="63"/>
      <c r="D120" s="195"/>
      <c r="E120" s="108"/>
      <c r="F120" s="108"/>
      <c r="G120" s="108"/>
      <c r="H120" s="195"/>
      <c r="I120" s="108"/>
      <c r="J120" s="108"/>
      <c r="K120" s="108"/>
      <c r="L120" s="107"/>
      <c r="M120" s="108"/>
      <c r="N120" s="108"/>
      <c r="O120" s="108"/>
      <c r="Q120" s="108"/>
      <c r="R120" s="108"/>
      <c r="S120" s="108"/>
    </row>
    <row r="121" spans="1:19" s="19" customFormat="1" ht="16.5" customHeight="1">
      <c r="A121" s="5" t="s">
        <v>131</v>
      </c>
      <c r="B121" s="5"/>
      <c r="C121" s="5"/>
      <c r="D121" s="196">
        <f>SUM(D122:D124)</f>
        <v>413350</v>
      </c>
      <c r="E121" s="197">
        <f>SUM(E122:E124)</f>
        <v>415959</v>
      </c>
      <c r="F121" s="197">
        <f>SUM(F122:F124)</f>
        <v>396407</v>
      </c>
      <c r="G121" s="64">
        <f>SUM(G122:G124)</f>
        <v>445384</v>
      </c>
      <c r="H121" s="196">
        <v>400550</v>
      </c>
      <c r="I121" s="197">
        <v>397087</v>
      </c>
      <c r="J121" s="197">
        <f>SUM(J122:J124)</f>
        <v>409604</v>
      </c>
      <c r="K121" s="64">
        <v>478150</v>
      </c>
      <c r="L121" s="171">
        <v>459551</v>
      </c>
      <c r="M121" s="64">
        <v>463666</v>
      </c>
      <c r="N121" s="64">
        <v>489824</v>
      </c>
      <c r="O121" s="64">
        <v>557452</v>
      </c>
      <c r="Q121" s="64">
        <v>1671100</v>
      </c>
      <c r="R121" s="64">
        <f t="shared" ref="R121:R126" si="11">SUM(H121:K121)</f>
        <v>1685391</v>
      </c>
      <c r="S121" s="64">
        <v>1883272</v>
      </c>
    </row>
    <row r="122" spans="1:19" s="57" customFormat="1" ht="16.5" customHeight="1">
      <c r="B122" s="110" t="s">
        <v>132</v>
      </c>
      <c r="C122" s="111"/>
      <c r="D122" s="198">
        <v>333780</v>
      </c>
      <c r="E122" s="111">
        <v>324705</v>
      </c>
      <c r="F122" s="111">
        <v>313222</v>
      </c>
      <c r="G122" s="57">
        <v>351556</v>
      </c>
      <c r="H122" s="198">
        <v>321758</v>
      </c>
      <c r="I122" s="111">
        <v>304522</v>
      </c>
      <c r="J122" s="111">
        <v>325473</v>
      </c>
      <c r="K122" s="57">
        <v>377855</v>
      </c>
      <c r="L122" s="175">
        <v>361028</v>
      </c>
      <c r="M122" s="57">
        <v>343678</v>
      </c>
      <c r="N122" s="57">
        <v>370551</v>
      </c>
      <c r="O122" s="57">
        <v>402155</v>
      </c>
      <c r="Q122" s="57">
        <v>1323263</v>
      </c>
      <c r="R122" s="57">
        <f t="shared" si="11"/>
        <v>1329608</v>
      </c>
      <c r="S122" s="57">
        <v>1407351</v>
      </c>
    </row>
    <row r="123" spans="1:19" s="57" customFormat="1" ht="16.5" customHeight="1">
      <c r="B123" s="110" t="s">
        <v>133</v>
      </c>
      <c r="C123" s="111"/>
      <c r="D123" s="198">
        <v>35277</v>
      </c>
      <c r="E123" s="111">
        <v>37492</v>
      </c>
      <c r="F123" s="111">
        <v>37873</v>
      </c>
      <c r="G123" s="57">
        <v>37922</v>
      </c>
      <c r="H123" s="198">
        <v>34648</v>
      </c>
      <c r="I123" s="111">
        <v>34787</v>
      </c>
      <c r="J123" s="111">
        <v>35339</v>
      </c>
      <c r="K123" s="57">
        <v>42266</v>
      </c>
      <c r="L123" s="175">
        <v>40490</v>
      </c>
      <c r="M123" s="57">
        <v>44785</v>
      </c>
      <c r="N123" s="57">
        <v>47680</v>
      </c>
      <c r="O123" s="57">
        <v>52126</v>
      </c>
      <c r="Q123" s="57">
        <v>148564</v>
      </c>
      <c r="R123" s="57">
        <f t="shared" si="11"/>
        <v>147040</v>
      </c>
      <c r="S123" s="57">
        <v>185081</v>
      </c>
    </row>
    <row r="124" spans="1:19" s="57" customFormat="1" ht="16.5" customHeight="1">
      <c r="B124" s="110" t="s">
        <v>134</v>
      </c>
      <c r="C124" s="111"/>
      <c r="D124" s="198">
        <v>44293</v>
      </c>
      <c r="E124" s="111">
        <v>53762</v>
      </c>
      <c r="F124" s="111">
        <v>45312</v>
      </c>
      <c r="G124" s="57">
        <v>55906</v>
      </c>
      <c r="H124" s="198">
        <v>44144</v>
      </c>
      <c r="I124" s="111">
        <v>57778</v>
      </c>
      <c r="J124" s="111">
        <v>48792</v>
      </c>
      <c r="K124" s="57">
        <v>58029</v>
      </c>
      <c r="L124" s="175">
        <v>58033</v>
      </c>
      <c r="M124" s="57">
        <v>75203</v>
      </c>
      <c r="N124" s="57">
        <v>71593</v>
      </c>
      <c r="O124" s="57">
        <v>103171</v>
      </c>
      <c r="Q124" s="57">
        <v>199273</v>
      </c>
      <c r="R124" s="57">
        <f t="shared" si="11"/>
        <v>208743</v>
      </c>
      <c r="S124" s="57">
        <v>290840</v>
      </c>
    </row>
    <row r="125" spans="1:19" s="57" customFormat="1" ht="16.5" customHeight="1">
      <c r="A125" s="110" t="s">
        <v>135</v>
      </c>
      <c r="C125" s="111"/>
      <c r="D125" s="198">
        <v>25199</v>
      </c>
      <c r="E125" s="111">
        <v>25390</v>
      </c>
      <c r="F125" s="111">
        <v>24314</v>
      </c>
      <c r="G125" s="57">
        <v>23149</v>
      </c>
      <c r="H125" s="198">
        <v>23520</v>
      </c>
      <c r="I125" s="111">
        <v>23917</v>
      </c>
      <c r="J125" s="111">
        <v>22764</v>
      </c>
      <c r="K125" s="57">
        <v>22893</v>
      </c>
      <c r="L125" s="175">
        <v>24356</v>
      </c>
      <c r="M125" s="57">
        <v>27238</v>
      </c>
      <c r="N125" s="57">
        <v>27165</v>
      </c>
      <c r="O125" s="57">
        <v>26259</v>
      </c>
      <c r="Q125" s="57">
        <v>98052</v>
      </c>
      <c r="R125" s="57">
        <f t="shared" si="11"/>
        <v>93094</v>
      </c>
      <c r="S125" s="57">
        <v>105018</v>
      </c>
    </row>
    <row r="126" spans="1:19" s="57" customFormat="1" ht="16.5" customHeight="1">
      <c r="A126" s="57" t="s">
        <v>95</v>
      </c>
      <c r="D126" s="198">
        <v>28844</v>
      </c>
      <c r="E126" s="111">
        <v>30340</v>
      </c>
      <c r="F126" s="111">
        <v>37064</v>
      </c>
      <c r="G126" s="57">
        <v>38077</v>
      </c>
      <c r="H126" s="198">
        <v>35317</v>
      </c>
      <c r="I126" s="111">
        <v>37076</v>
      </c>
      <c r="J126" s="111">
        <v>37264</v>
      </c>
      <c r="K126" s="57">
        <v>36355</v>
      </c>
      <c r="L126" s="175">
        <v>37800</v>
      </c>
      <c r="M126" s="57">
        <v>42966</v>
      </c>
      <c r="N126" s="57">
        <v>38955</v>
      </c>
      <c r="O126" s="57">
        <v>41681</v>
      </c>
      <c r="Q126" s="57">
        <v>134325</v>
      </c>
      <c r="R126" s="57">
        <f t="shared" si="11"/>
        <v>146012</v>
      </c>
      <c r="S126" s="57">
        <v>161402</v>
      </c>
    </row>
    <row r="127" spans="1:19" s="19" customFormat="1" ht="16.5" customHeight="1">
      <c r="A127" s="112"/>
      <c r="B127" s="3"/>
      <c r="C127" s="3"/>
      <c r="D127" s="33"/>
      <c r="E127" s="34"/>
      <c r="F127" s="34"/>
      <c r="H127" s="33"/>
      <c r="I127" s="34"/>
      <c r="J127" s="34"/>
      <c r="L127" s="18"/>
    </row>
    <row r="128" spans="1:19">
      <c r="A128" s="142"/>
    </row>
    <row r="129" spans="1:19">
      <c r="A129" s="143"/>
      <c r="B129" s="143"/>
      <c r="C129" s="143"/>
      <c r="D129" s="143"/>
      <c r="E129" s="143"/>
      <c r="F129" s="143"/>
      <c r="G129" s="143"/>
      <c r="H129" s="144"/>
      <c r="I129" s="143"/>
      <c r="J129" s="143"/>
      <c r="K129" s="143"/>
      <c r="L129" s="144"/>
      <c r="M129" s="143"/>
      <c r="N129" s="143"/>
      <c r="O129" s="143"/>
      <c r="Q129" s="143"/>
      <c r="R129" s="143"/>
      <c r="S129" s="143"/>
    </row>
    <row r="130" spans="1:19">
      <c r="D130" s="145" t="s">
        <v>146</v>
      </c>
      <c r="E130" s="146"/>
      <c r="F130" s="146"/>
      <c r="G130" s="146"/>
      <c r="H130" s="147" t="s">
        <v>149</v>
      </c>
      <c r="I130" s="146"/>
      <c r="J130" s="146"/>
      <c r="K130" s="146"/>
      <c r="L130" s="147" t="s">
        <v>147</v>
      </c>
      <c r="M130" s="146"/>
      <c r="N130" s="146"/>
      <c r="O130" s="146"/>
      <c r="Q130" s="148" t="s">
        <v>148</v>
      </c>
      <c r="R130" s="148" t="s">
        <v>149</v>
      </c>
      <c r="S130" s="148" t="s">
        <v>150</v>
      </c>
    </row>
    <row r="131" spans="1:19" ht="19.649999999999999" customHeight="1">
      <c r="D131" s="150" t="s">
        <v>183</v>
      </c>
      <c r="E131" s="150" t="s">
        <v>184</v>
      </c>
      <c r="F131" s="150" t="s">
        <v>185</v>
      </c>
      <c r="G131" s="150" t="s">
        <v>186</v>
      </c>
      <c r="H131" s="151" t="s">
        <v>187</v>
      </c>
      <c r="I131" s="150" t="s">
        <v>188</v>
      </c>
      <c r="J131" s="150" t="s">
        <v>189</v>
      </c>
      <c r="K131" s="150" t="s">
        <v>186</v>
      </c>
      <c r="L131" s="151" t="s">
        <v>190</v>
      </c>
      <c r="M131" s="150" t="s">
        <v>10</v>
      </c>
      <c r="N131" s="150" t="s">
        <v>189</v>
      </c>
      <c r="O131" s="150" t="s">
        <v>186</v>
      </c>
      <c r="Q131" s="152" t="s">
        <v>191</v>
      </c>
      <c r="R131" s="152" t="s">
        <v>192</v>
      </c>
      <c r="S131" s="152" t="s">
        <v>140</v>
      </c>
    </row>
    <row r="132" spans="1:19" s="19" customFormat="1" ht="21.9" customHeight="1">
      <c r="A132" s="113" t="s">
        <v>103</v>
      </c>
      <c r="B132" s="113"/>
      <c r="C132" s="113"/>
      <c r="D132" s="199"/>
      <c r="E132" s="200"/>
      <c r="F132" s="200"/>
      <c r="H132" s="199"/>
      <c r="I132" s="200"/>
      <c r="J132" s="200"/>
      <c r="L132" s="18"/>
    </row>
    <row r="133" spans="1:19" s="57" customFormat="1" ht="16.5" customHeight="1">
      <c r="A133" s="110" t="s">
        <v>104</v>
      </c>
      <c r="B133" s="110"/>
      <c r="D133" s="175">
        <v>215312</v>
      </c>
      <c r="E133" s="57">
        <v>219203</v>
      </c>
      <c r="F133" s="57">
        <v>210593</v>
      </c>
      <c r="G133" s="64">
        <v>241317</v>
      </c>
      <c r="H133" s="175">
        <v>215449</v>
      </c>
      <c r="I133" s="57">
        <v>215313</v>
      </c>
      <c r="J133" s="57">
        <v>210140</v>
      </c>
      <c r="K133" s="64">
        <v>229495</v>
      </c>
      <c r="L133" s="171">
        <v>217776</v>
      </c>
      <c r="M133" s="64">
        <v>226028</v>
      </c>
      <c r="N133" s="64">
        <v>228502</v>
      </c>
      <c r="O133" s="64">
        <v>281267</v>
      </c>
      <c r="Q133" s="64">
        <v>886425</v>
      </c>
      <c r="R133" s="64">
        <f>SUM(H133:K133)</f>
        <v>870397</v>
      </c>
      <c r="S133" s="64">
        <v>866352</v>
      </c>
    </row>
    <row r="134" spans="1:19" s="57" customFormat="1" ht="16.5" customHeight="1">
      <c r="A134" s="110" t="s">
        <v>105</v>
      </c>
      <c r="B134" s="110"/>
      <c r="D134" s="175">
        <f>SUM(D135:D137)</f>
        <v>252081</v>
      </c>
      <c r="E134" s="57">
        <f>SUM(E135:E137)</f>
        <v>252486</v>
      </c>
      <c r="F134" s="57">
        <f>SUM(F135:F137)</f>
        <v>247192</v>
      </c>
      <c r="G134" s="57">
        <f>SUM(G135:G137)</f>
        <v>265293</v>
      </c>
      <c r="H134" s="175">
        <v>243938</v>
      </c>
      <c r="I134" s="57">
        <v>242767</v>
      </c>
      <c r="J134" s="57">
        <f>SUM(J135:J137)</f>
        <v>259492</v>
      </c>
      <c r="K134" s="57">
        <v>307903</v>
      </c>
      <c r="L134" s="175">
        <v>303931</v>
      </c>
      <c r="M134" s="57">
        <v>307842</v>
      </c>
      <c r="N134" s="57">
        <v>327442</v>
      </c>
      <c r="O134" s="57">
        <v>344125</v>
      </c>
      <c r="Q134" s="57">
        <v>1017052</v>
      </c>
      <c r="R134" s="57">
        <f>SUM(H134:K134)</f>
        <v>1054100</v>
      </c>
      <c r="S134" s="57">
        <v>1283340</v>
      </c>
    </row>
    <row r="135" spans="1:19" s="57" customFormat="1" ht="16.5" customHeight="1">
      <c r="B135" s="110" t="s">
        <v>106</v>
      </c>
      <c r="D135" s="175">
        <v>114243</v>
      </c>
      <c r="E135" s="57">
        <v>120151</v>
      </c>
      <c r="F135" s="57">
        <v>112762</v>
      </c>
      <c r="G135" s="57">
        <v>121572</v>
      </c>
      <c r="H135" s="175">
        <v>117467</v>
      </c>
      <c r="I135" s="57">
        <v>116852</v>
      </c>
      <c r="J135" s="57">
        <v>119508</v>
      </c>
      <c r="K135" s="57">
        <v>142778</v>
      </c>
      <c r="L135" s="175">
        <v>142514</v>
      </c>
      <c r="M135" s="57">
        <v>143555</v>
      </c>
      <c r="N135" s="57">
        <v>147589</v>
      </c>
      <c r="O135" s="57">
        <v>157626</v>
      </c>
      <c r="Q135" s="57">
        <v>468728</v>
      </c>
      <c r="R135" s="57">
        <f>SUM(H135:K135)</f>
        <v>496605</v>
      </c>
      <c r="S135" s="57">
        <v>591284</v>
      </c>
    </row>
    <row r="136" spans="1:19" s="57" customFormat="1" ht="16.5" customHeight="1">
      <c r="B136" s="110" t="s">
        <v>107</v>
      </c>
      <c r="D136" s="175">
        <v>107718</v>
      </c>
      <c r="E136" s="57">
        <v>100231</v>
      </c>
      <c r="F136" s="57">
        <v>103411</v>
      </c>
      <c r="G136" s="57">
        <v>110013</v>
      </c>
      <c r="H136" s="175">
        <v>95253</v>
      </c>
      <c r="I136" s="57">
        <v>91910</v>
      </c>
      <c r="J136" s="57">
        <v>107177</v>
      </c>
      <c r="K136" s="57">
        <v>127400</v>
      </c>
      <c r="L136" s="175">
        <v>121394</v>
      </c>
      <c r="M136" s="57">
        <v>119182</v>
      </c>
      <c r="N136" s="57">
        <v>136342</v>
      </c>
      <c r="O136" s="57">
        <v>142520</v>
      </c>
      <c r="Q136" s="57">
        <v>421373</v>
      </c>
      <c r="R136" s="57">
        <f>SUM(H136:K136)</f>
        <v>421740</v>
      </c>
      <c r="S136" s="57">
        <v>519438</v>
      </c>
    </row>
    <row r="137" spans="1:19" s="57" customFormat="1" ht="16.5" customHeight="1">
      <c r="B137" s="57" t="s">
        <v>95</v>
      </c>
      <c r="D137" s="175">
        <v>30120</v>
      </c>
      <c r="E137" s="57">
        <v>32104</v>
      </c>
      <c r="F137" s="57">
        <v>31019</v>
      </c>
      <c r="G137" s="57">
        <v>33708</v>
      </c>
      <c r="H137" s="175">
        <v>31218</v>
      </c>
      <c r="I137" s="57">
        <v>34005</v>
      </c>
      <c r="J137" s="57">
        <v>32807</v>
      </c>
      <c r="K137" s="57">
        <v>37725</v>
      </c>
      <c r="L137" s="175">
        <v>40023</v>
      </c>
      <c r="M137" s="57">
        <v>45105</v>
      </c>
      <c r="N137" s="57">
        <v>43511</v>
      </c>
      <c r="O137" s="57">
        <v>43979</v>
      </c>
      <c r="Q137" s="57">
        <v>126951</v>
      </c>
      <c r="R137" s="57">
        <f>SUM(H137:K137)</f>
        <v>135755</v>
      </c>
      <c r="S137" s="57">
        <v>172618</v>
      </c>
    </row>
  </sheetData>
  <sheetProtection password="E59C" sheet="1" formatCells="0" formatColumns="0" formatRows="0" insertColumns="0" insertRows="0" insertHyperlinks="0" deleteColumns="0" deleteRows="0" selectLockedCells="1" sort="0" autoFilter="0" pivotTables="0"/>
  <dataConsolidate/>
  <phoneticPr fontId="2"/>
  <pageMargins left="0.74803149606299213" right="0.74803149606299213" top="0.70866141732283472" bottom="0.31496062992125984" header="0.51181102362204722" footer="0.51181102362204722"/>
  <pageSetup paperSize="8" scale="47" fitToHeight="2" orientation="landscape" r:id="rId1"/>
  <headerFooter alignWithMargins="0"/>
  <rowBreaks count="1" manualBreakCount="1">
    <brk id="100" max="16383" man="1"/>
  </rowBreaks>
  <ignoredErrors>
    <ignoredError sqref="P56:P5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009BBF0CD39F4F8FD51C826193A88C" ma:contentTypeVersion="14" ma:contentTypeDescription="新しいドキュメントを作成します。" ma:contentTypeScope="" ma:versionID="3a094f1d05c6c545ef887fc9cf67e103">
  <xsd:schema xmlns:xsd="http://www.w3.org/2001/XMLSchema" xmlns:xs="http://www.w3.org/2001/XMLSchema" xmlns:p="http://schemas.microsoft.com/office/2006/metadata/properties" xmlns:ns2="705c5e7b-60ee-4cf6-9ee1-6f72ecdfeed4" xmlns:ns3="8cd3dc94-3e25-4652-8b15-a39eebfff76c" targetNamespace="http://schemas.microsoft.com/office/2006/metadata/properties" ma:root="true" ma:fieldsID="2a1c18e4fada251f3f350871be1dcec6" ns2:_="" ns3:_="">
    <xsd:import namespace="705c5e7b-60ee-4cf6-9ee1-6f72ecdfeed4"/>
    <xsd:import namespace="8cd3dc94-3e25-4652-8b15-a39eebfff7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c5e7b-60ee-4cf6-9ee1-6f72ecdfe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8025351e-2728-4284-826b-0482ed602b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3dc94-3e25-4652-8b15-a39eebfff76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815e32d-dbfe-4e1e-94b9-9cdb0555757c}" ma:internalName="TaxCatchAll" ma:showField="CatchAllData" ma:web="8cd3dc94-3e25-4652-8b15-a39eebfff7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5c5e7b-60ee-4cf6-9ee1-6f72ecdfeed4">
      <Terms xmlns="http://schemas.microsoft.com/office/infopath/2007/PartnerControls"/>
    </lcf76f155ced4ddcb4097134ff3c332f>
    <TaxCatchAll xmlns="8cd3dc94-3e25-4652-8b15-a39eebfff76c" xsi:nil="true"/>
  </documentManagement>
</p:properties>
</file>

<file path=customXml/itemProps1.xml><?xml version="1.0" encoding="utf-8"?>
<ds:datastoreItem xmlns:ds="http://schemas.openxmlformats.org/officeDocument/2006/customXml" ds:itemID="{467BE0D8-DAEE-486D-A5CD-EF874A8903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C2D6AF-866D-450A-B054-C5E1D2E6754F}"/>
</file>

<file path=customXml/itemProps3.xml><?xml version="1.0" encoding="utf-8"?>
<ds:datastoreItem xmlns:ds="http://schemas.openxmlformats.org/officeDocument/2006/customXml" ds:itemID="{336B596F-546D-4110-AF33-2E95A1E35569}">
  <ds:schemaRefs>
    <ds:schemaRef ds:uri="http://schemas.microsoft.com/office/2006/metadata/properties"/>
    <ds:schemaRef ds:uri="6b58be95-b25f-4b17-aeb6-f7d85e5bf1e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c00bc5bf-ef2e-4736-9f56-0707dddfb7f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RICOH Data_FY2021～(segment)</vt:lpstr>
      <vt:lpstr>RICOH Data_FY2017～(segment)</vt:lpstr>
      <vt:lpstr>RICOH Data_FY2013～(IFRS)</vt:lpstr>
      <vt:lpstr>RICOH Data_～FY2013(U.S.GAAP)</vt:lpstr>
      <vt:lpstr>'RICOH Data_FY2013～(IFRS)'!Print_Area</vt:lpstr>
      <vt:lpstr>'RICOH Data_FY2017～(segment)'!Print_Area</vt:lpstr>
      <vt:lpstr>'RICOH Data_FY2021～(segment)'!Print_Area</vt:lpstr>
      <vt:lpstr>'RICOH Data_～FY2013(U.S.GAAP)'!Print_Titles</vt:lpstr>
      <vt:lpstr>'RICOH Data_FY2013～(IFRS)'!Print_Titles</vt:lpstr>
      <vt:lpstr>'RICOH Data_FY2017～(segment)'!Print_Titles</vt:lpstr>
      <vt:lpstr>'RICOH Data_FY2021～(segment)'!Print_Titles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2014-01-29T05:03:19Z</dcterms:created>
  <dcterms:modified xsi:type="dcterms:W3CDTF">2025-11-07T01:15:45Z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0x0101008E009BBF0CD39F4F8FD51C826193A88C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Order">
    <vt:r8>101700</vt:r8>
  </property>
  <property fmtid="{D5CDD505-2E9C-101B-9397-08002B2CF9AE}" pid="8" name="MediaServiceImageTags">
    <vt:lpwstr/>
  </property>
</Properties>
</file>